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<sst xmlns="http://schemas.openxmlformats.org/spreadsheetml/2006/main" uniqueCount="59">
  <si>
    <t>Financial model</t>
  </si>
  <si>
    <t>Rpbn</t>
  </si>
  <si>
    <t>4Q 2022</t>
  </si>
  <si>
    <t>Cashflow</t>
  </si>
  <si>
    <t>Growth</t>
  </si>
  <si>
    <t>Sales</t>
  </si>
  <si>
    <t>Cost ratio</t>
  </si>
  <si>
    <t xml:space="preserve">Cash costs </t>
  </si>
  <si>
    <t>Operating</t>
  </si>
  <si>
    <t>Investment</t>
  </si>
  <si>
    <t>Leases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</si>
  <si>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</si>
  <si>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</si>
  <si>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</si>
  <si>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</si>
  <si>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</si>
  <si>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</si>
  <si>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</si>
  <si>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</si>
  <si>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</si>
  <si>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</si>
  <si>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</si>
  <si>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</si>
  <si>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</si>
  <si>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</si>
  <si>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</si>
  <si>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</si>
  <si>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</si>
  <si>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</si>
  <si>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</si>
  <si>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</si>
  <si>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</si>
  <si>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</si>
  <si>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</si>
  <si>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</si>
  <si>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</si>
  <si>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</si>
  <si>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</si>
  <si>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</si>
  <si>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</si>
  <si>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</si>
  <si>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</si>
  <si>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</si>
  <si>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</si>
  <si>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</si>
  <si>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 xml:space="preserve">Cost ratio </t>
  </si>
  <si>
    <t>Receipts</t>
  </si>
  <si>
    <t xml:space="preserve">Operating </t>
  </si>
  <si>
    <t xml:space="preserve">Investment </t>
  </si>
  <si>
    <t>Interest</t>
  </si>
  <si>
    <t xml:space="preserve">Free cashflow </t>
  </si>
  <si>
    <t>Cash</t>
  </si>
  <si>
    <t>Assets</t>
  </si>
  <si>
    <t xml:space="preserve">Other assets </t>
  </si>
  <si>
    <t>Check</t>
  </si>
  <si>
    <t>Net cash</t>
  </si>
  <si>
    <t>Share price</t>
  </si>
  <si>
    <t>MAPA</t>
  </si>
  <si>
    <t>Previous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</si>
</sst>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272684</xdr:colOff>
      <xdr:row>1</xdr:row>
      <xdr:rowOff>221985</xdr:rowOff>
    </xdr:from>
    <xdr:to>
      <xdr:col>13</xdr:col>
      <xdr:colOff>563376</xdr:colOff>
      <xdr:row>49</xdr:row>
      <xdr:rowOff>231347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93884" y="617590"/>
          <a:ext cx="9002893" cy="123334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1719" style="1" customWidth="1"/>
    <col min="2" max="2" width="14.7656" style="1" customWidth="1"/>
    <col min="3" max="6" width="8.35156" style="1" customWidth="1"/>
    <col min="7" max="16384" width="16.3516" style="1" customWidth="1"/>
  </cols>
  <sheetData>
    <row r="1" ht="31.1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5"/>
      <c r="E3" t="s" s="6">
        <v>2</v>
      </c>
      <c r="F3" s="4"/>
    </row>
    <row r="4" ht="20.25" customHeight="1">
      <c r="B4" t="s" s="7">
        <v>3</v>
      </c>
      <c r="C4" s="8">
        <f>AVERAGE('Sales'!F21:F24)</f>
        <v>0.274121833115854</v>
      </c>
      <c r="D4" s="9"/>
      <c r="E4" s="9"/>
      <c r="F4" s="10">
        <f>AVERAGE(C5:F5)</f>
        <v>0.0475</v>
      </c>
    </row>
    <row r="5" ht="20.05" customHeight="1">
      <c r="B5" t="s" s="11">
        <v>4</v>
      </c>
      <c r="C5" s="12">
        <v>0.11</v>
      </c>
      <c r="D5" s="13">
        <v>0.06</v>
      </c>
      <c r="E5" s="13">
        <v>0.12</v>
      </c>
      <c r="F5" s="13">
        <v>-0.1</v>
      </c>
    </row>
    <row r="6" ht="20.05" customHeight="1">
      <c r="B6" t="s" s="11">
        <v>5</v>
      </c>
      <c r="C6" s="14">
        <f>'Sales'!B24*(1+C5)</f>
        <v>2127.315</v>
      </c>
      <c r="D6" s="15">
        <f>C6*(1+D5)</f>
        <v>2254.9539</v>
      </c>
      <c r="E6" s="15">
        <f>D6*(1+E5)</f>
        <v>2525.548368</v>
      </c>
      <c r="F6" s="15">
        <f>E6*(1+F5)</f>
        <v>2272.9935312</v>
      </c>
    </row>
    <row r="7" ht="20.05" customHeight="1">
      <c r="B7" t="s" s="11">
        <v>6</v>
      </c>
      <c r="C7" s="16">
        <f>AVERAGE('Sales'!H24)</f>
        <v>-0.86181878186618</v>
      </c>
      <c r="D7" s="17">
        <f>C7</f>
        <v>-0.86181878186618</v>
      </c>
      <c r="E7" s="17">
        <f>D7</f>
        <v>-0.86181878186618</v>
      </c>
      <c r="F7" s="17">
        <f>E7</f>
        <v>-0.86181878186618</v>
      </c>
    </row>
    <row r="8" ht="20.05" customHeight="1">
      <c r="B8" t="s" s="11">
        <v>7</v>
      </c>
      <c r="C8" s="18">
        <f>C7*C6</f>
        <v>-1833.360021945650</v>
      </c>
      <c r="D8" s="19">
        <f>D7*D6</f>
        <v>-1943.361623262390</v>
      </c>
      <c r="E8" s="19">
        <f>E7*E6</f>
        <v>-2176.565018053880</v>
      </c>
      <c r="F8" s="19">
        <f>F7*F6</f>
        <v>-1958.908516248490</v>
      </c>
    </row>
    <row r="9" ht="20.05" customHeight="1">
      <c r="B9" t="s" s="11">
        <v>8</v>
      </c>
      <c r="C9" s="18">
        <f>C6+C8</f>
        <v>293.954978054350</v>
      </c>
      <c r="D9" s="19">
        <f>D6+D8</f>
        <v>311.592276737610</v>
      </c>
      <c r="E9" s="19">
        <f>E6+E8</f>
        <v>348.983349946120</v>
      </c>
      <c r="F9" s="19">
        <f>F6+F8</f>
        <v>314.085014951510</v>
      </c>
    </row>
    <row r="10" ht="20.05" customHeight="1">
      <c r="B10" t="s" s="11">
        <v>9</v>
      </c>
      <c r="C10" s="18">
        <f>AVERAGE('Cashflow'!E23:E24)</f>
        <v>-64.8</v>
      </c>
      <c r="D10" s="19">
        <f>C10</f>
        <v>-64.8</v>
      </c>
      <c r="E10" s="19">
        <f>D10</f>
        <v>-64.8</v>
      </c>
      <c r="F10" s="19">
        <f>E10</f>
        <v>-64.8</v>
      </c>
    </row>
    <row r="11" ht="20.05" customHeight="1">
      <c r="B11" t="s" s="11">
        <v>10</v>
      </c>
      <c r="C11" s="18">
        <f>AVERAGE('Cashflow'!G24)</f>
        <v>-65.09999999999999</v>
      </c>
      <c r="D11" s="19">
        <f>C11</f>
        <v>-65.09999999999999</v>
      </c>
      <c r="E11" s="19">
        <f>D11</f>
        <v>-65.09999999999999</v>
      </c>
      <c r="F11" s="19">
        <f>E11</f>
        <v>-65.09999999999999</v>
      </c>
    </row>
    <row r="12" ht="20.05" customHeight="1">
      <c r="B12" t="s" s="11">
        <v>11</v>
      </c>
      <c r="C12" s="18">
        <f>C13+C16+C14</f>
        <v>-141.986493416305</v>
      </c>
      <c r="D12" s="19">
        <f>D13+D16+D14</f>
        <v>-142.262683021283</v>
      </c>
      <c r="E12" s="19">
        <f>E13+E16+E14</f>
        <v>-148.715754983836</v>
      </c>
      <c r="F12" s="19">
        <f>F13+F16+F14</f>
        <v>-133.720216985453</v>
      </c>
    </row>
    <row r="13" ht="20.05" customHeight="1">
      <c r="B13" t="s" s="11">
        <v>12</v>
      </c>
      <c r="C13" s="18">
        <f>-('Balance sheet'!G20)/20</f>
        <v>-100.3</v>
      </c>
      <c r="D13" s="19">
        <f>-C28/20</f>
        <v>-95.285</v>
      </c>
      <c r="E13" s="19">
        <f>-D28/20</f>
        <v>-90.52075000000001</v>
      </c>
      <c r="F13" s="19">
        <f>-E28/20</f>
        <v>-85.99471250000001</v>
      </c>
    </row>
    <row r="14" ht="20.05" customHeight="1">
      <c r="B14" t="s" s="11">
        <v>13</v>
      </c>
      <c r="C14" s="18">
        <f>-MIN(0,C17)</f>
        <v>0</v>
      </c>
      <c r="D14" s="19">
        <f>-MIN(C29,D17)</f>
        <v>0</v>
      </c>
      <c r="E14" s="19">
        <f>-MIN(D29,E17)</f>
        <v>0</v>
      </c>
      <c r="F14" s="19">
        <f>-MIN(E29,F17)</f>
        <v>0</v>
      </c>
    </row>
    <row r="15" ht="20.05" customHeight="1">
      <c r="B15" t="s" s="11">
        <v>14</v>
      </c>
      <c r="C15" s="20">
        <v>0.3</v>
      </c>
      <c r="D15" s="19"/>
      <c r="E15" s="19"/>
      <c r="F15" s="19"/>
    </row>
    <row r="16" ht="20.05" customHeight="1">
      <c r="B16" t="s" s="11">
        <v>15</v>
      </c>
      <c r="C16" s="18">
        <f>IF(C23&gt;0,-C23*$C$15,0)</f>
        <v>-41.686493416305</v>
      </c>
      <c r="D16" s="19">
        <f>IF(D23&gt;0,-D23*$C$15,0)</f>
        <v>-46.977683021283</v>
      </c>
      <c r="E16" s="19">
        <f>IF(E23&gt;0,-E23*$C$15,0)</f>
        <v>-58.195004983836</v>
      </c>
      <c r="F16" s="19">
        <f>IF(F23&gt;0,-F23*$C$15,0)</f>
        <v>-47.725504485453</v>
      </c>
    </row>
    <row r="17" ht="20.05" customHeight="1">
      <c r="B17" t="s" s="11">
        <v>16</v>
      </c>
      <c r="C17" s="18">
        <f>C9+C10+C13+C16</f>
        <v>87.168484638045</v>
      </c>
      <c r="D17" s="19">
        <f>D9+D10+D13+D16</f>
        <v>104.529593716327</v>
      </c>
      <c r="E17" s="19">
        <f>E9+E10+E13+E16</f>
        <v>135.467594962284</v>
      </c>
      <c r="F17" s="19">
        <f>F9+F10+F13+F16</f>
        <v>115.564797966057</v>
      </c>
    </row>
    <row r="18" ht="20.05" customHeight="1">
      <c r="B18" t="s" s="11">
        <v>17</v>
      </c>
      <c r="C18" s="18">
        <f>'Balance sheet'!C20</f>
        <v>733</v>
      </c>
      <c r="D18" s="19">
        <f>C20</f>
        <v>820.168484638045</v>
      </c>
      <c r="E18" s="19">
        <f>D20</f>
        <v>924.698078354372</v>
      </c>
      <c r="F18" s="19">
        <f>E20</f>
        <v>1060.165673316660</v>
      </c>
    </row>
    <row r="19" ht="20.05" customHeight="1">
      <c r="B19" t="s" s="11">
        <v>18</v>
      </c>
      <c r="C19" s="18">
        <f>C9+C10+C12</f>
        <v>87.168484638045</v>
      </c>
      <c r="D19" s="19">
        <f>D9+D10+D12</f>
        <v>104.529593716327</v>
      </c>
      <c r="E19" s="19">
        <f>E9+E10+E12</f>
        <v>135.467594962284</v>
      </c>
      <c r="F19" s="19">
        <f>F9+F10+F12</f>
        <v>115.564797966057</v>
      </c>
    </row>
    <row r="20" ht="20.05" customHeight="1">
      <c r="B20" t="s" s="11">
        <v>19</v>
      </c>
      <c r="C20" s="18">
        <f>C18+C19</f>
        <v>820.168484638045</v>
      </c>
      <c r="D20" s="19">
        <f>D18+D19</f>
        <v>924.698078354372</v>
      </c>
      <c r="E20" s="19">
        <f>E18+E19</f>
        <v>1060.165673316660</v>
      </c>
      <c r="F20" s="19">
        <f>F18+F19</f>
        <v>1175.730471282720</v>
      </c>
    </row>
    <row r="21" ht="20.05" customHeight="1">
      <c r="B21" t="s" s="21">
        <v>20</v>
      </c>
      <c r="C21" s="22"/>
      <c r="D21" s="23"/>
      <c r="E21" s="23"/>
      <c r="F21" s="24"/>
    </row>
    <row r="22" ht="20.05" customHeight="1">
      <c r="B22" t="s" s="11">
        <v>21</v>
      </c>
      <c r="C22" s="18">
        <f>-AVERAGE('Sales'!D24)</f>
        <v>-155</v>
      </c>
      <c r="D22" s="19">
        <f>C22</f>
        <v>-155</v>
      </c>
      <c r="E22" s="19">
        <f>D22</f>
        <v>-155</v>
      </c>
      <c r="F22" s="19">
        <f>E22</f>
        <v>-155</v>
      </c>
    </row>
    <row r="23" ht="20.05" customHeight="1">
      <c r="B23" t="s" s="11">
        <v>22</v>
      </c>
      <c r="C23" s="18">
        <f>C6+C8+C22</f>
        <v>138.954978054350</v>
      </c>
      <c r="D23" s="19">
        <f>D6+D8+D22</f>
        <v>156.592276737610</v>
      </c>
      <c r="E23" s="19">
        <f>E6+E8+E22</f>
        <v>193.983349946120</v>
      </c>
      <c r="F23" s="19">
        <f>F6+F8+F22</f>
        <v>159.085014951510</v>
      </c>
    </row>
    <row r="24" ht="20.05" customHeight="1">
      <c r="B24" t="s" s="21">
        <v>23</v>
      </c>
      <c r="C24" s="22"/>
      <c r="D24" s="23"/>
      <c r="E24" s="23"/>
      <c r="F24" s="19"/>
    </row>
    <row r="25" ht="20.05" customHeight="1">
      <c r="B25" t="s" s="11">
        <v>24</v>
      </c>
      <c r="C25" s="18">
        <f>'Balance sheet'!E20+'Balance sheet'!F20-C10</f>
        <v>6804.8</v>
      </c>
      <c r="D25" s="19">
        <f>C25-D10</f>
        <v>6869.6</v>
      </c>
      <c r="E25" s="19">
        <f>D25-E10</f>
        <v>6934.4</v>
      </c>
      <c r="F25" s="19">
        <f>E25-F10</f>
        <v>6999.2</v>
      </c>
    </row>
    <row r="26" ht="20.05" customHeight="1">
      <c r="B26" t="s" s="11">
        <v>25</v>
      </c>
      <c r="C26" s="18">
        <f>'Balance sheet'!F20-C22</f>
        <v>2222</v>
      </c>
      <c r="D26" s="19">
        <f>C26-D22</f>
        <v>2377</v>
      </c>
      <c r="E26" s="19">
        <f>D26-E22</f>
        <v>2532</v>
      </c>
      <c r="F26" s="19">
        <f>E26-F22</f>
        <v>2687</v>
      </c>
    </row>
    <row r="27" ht="20.05" customHeight="1">
      <c r="B27" t="s" s="11">
        <v>26</v>
      </c>
      <c r="C27" s="18">
        <f>C25-C26</f>
        <v>4582.8</v>
      </c>
      <c r="D27" s="19">
        <f>D25-D26</f>
        <v>4492.6</v>
      </c>
      <c r="E27" s="19">
        <f>E25-E26</f>
        <v>4402.4</v>
      </c>
      <c r="F27" s="19">
        <f>F25-F26</f>
        <v>4312.2</v>
      </c>
    </row>
    <row r="28" ht="20.05" customHeight="1">
      <c r="B28" t="s" s="11">
        <v>12</v>
      </c>
      <c r="C28" s="18">
        <f>'Balance sheet'!G20+C13</f>
        <v>1905.7</v>
      </c>
      <c r="D28" s="19">
        <f>C28+D13</f>
        <v>1810.415</v>
      </c>
      <c r="E28" s="19">
        <f>D28+E13</f>
        <v>1719.89425</v>
      </c>
      <c r="F28" s="19">
        <f>E28+F13</f>
        <v>1633.8995375</v>
      </c>
    </row>
    <row r="29" ht="20.05" customHeight="1">
      <c r="B29" t="s" s="11">
        <v>13</v>
      </c>
      <c r="C29" s="18">
        <f>C14</f>
        <v>0</v>
      </c>
      <c r="D29" s="19">
        <f>C29+D14</f>
        <v>0</v>
      </c>
      <c r="E29" s="19">
        <f>D29+E14</f>
        <v>0</v>
      </c>
      <c r="F29" s="19">
        <f>E29+F14</f>
        <v>0</v>
      </c>
    </row>
    <row r="30" ht="20.05" customHeight="1">
      <c r="B30" t="s" s="11">
        <v>27</v>
      </c>
      <c r="C30" s="18">
        <f>'Balance sheet'!H20+C23+C16</f>
        <v>3497.268484638050</v>
      </c>
      <c r="D30" s="19">
        <f>C30+D23+D16</f>
        <v>3606.883078354380</v>
      </c>
      <c r="E30" s="19">
        <f>D30+E23+E16</f>
        <v>3742.671423316660</v>
      </c>
      <c r="F30" s="19">
        <f>E30+F23+F16</f>
        <v>3854.030933782720</v>
      </c>
    </row>
    <row r="31" ht="20.05" customHeight="1">
      <c r="B31" t="s" s="11">
        <v>28</v>
      </c>
      <c r="C31" s="18">
        <f>C28+C29+C30-C20-C27</f>
        <v>5e-12</v>
      </c>
      <c r="D31" s="19">
        <f>D28+D29+D30-D20-D27</f>
        <v>8e-12</v>
      </c>
      <c r="E31" s="19">
        <f>E28+E29+E30-E20-E27</f>
        <v>0</v>
      </c>
      <c r="F31" s="19">
        <f>F28+F29+F30-F20-F27</f>
        <v>0</v>
      </c>
    </row>
    <row r="32" ht="20.05" customHeight="1">
      <c r="B32" t="s" s="11">
        <v>29</v>
      </c>
      <c r="C32" s="18">
        <f>C20-C28-C29</f>
        <v>-1085.531515361960</v>
      </c>
      <c r="D32" s="19">
        <f>D20-D28-D29</f>
        <v>-885.716921645628</v>
      </c>
      <c r="E32" s="19">
        <f>E20-E28-E29</f>
        <v>-659.728576683340</v>
      </c>
      <c r="F32" s="19">
        <f>F20-F28-F29</f>
        <v>-458.169066217280</v>
      </c>
    </row>
    <row r="33" ht="20.05" customHeight="1">
      <c r="B33" t="s" s="11">
        <v>30</v>
      </c>
      <c r="C33" s="18"/>
      <c r="D33" s="19"/>
      <c r="E33" s="19"/>
      <c r="F33" s="19"/>
    </row>
    <row r="34" ht="20.05" customHeight="1">
      <c r="B34" t="s" s="11">
        <v>31</v>
      </c>
      <c r="C34" s="18">
        <f>'Cashflow'!N24-C12</f>
        <v>1177.185493416310</v>
      </c>
      <c r="D34" s="19">
        <f>C34-D12</f>
        <v>1319.448176437590</v>
      </c>
      <c r="E34" s="19">
        <f>D34-E12</f>
        <v>1468.163931421430</v>
      </c>
      <c r="F34" s="19">
        <f>E34-F12</f>
        <v>1601.884148406880</v>
      </c>
    </row>
    <row r="35" ht="20.05" customHeight="1">
      <c r="B35" t="s" s="11">
        <v>32</v>
      </c>
      <c r="C35" s="18"/>
      <c r="D35" s="19"/>
      <c r="E35" s="19"/>
      <c r="F35" s="19">
        <v>8494192000000</v>
      </c>
    </row>
    <row r="36" ht="20.05" customHeight="1">
      <c r="B36" t="s" s="11">
        <v>32</v>
      </c>
      <c r="C36" s="18"/>
      <c r="D36" s="19"/>
      <c r="E36" s="19"/>
      <c r="F36" s="19">
        <f>F35/1000000000</f>
        <v>8494.191999999999</v>
      </c>
    </row>
    <row r="37" ht="20.05" customHeight="1">
      <c r="B37" t="s" s="11">
        <v>33</v>
      </c>
      <c r="C37" s="18"/>
      <c r="D37" s="19"/>
      <c r="E37" s="19"/>
      <c r="F37" s="25">
        <f>F36/(F20+F27)</f>
        <v>1.54779511957166</v>
      </c>
    </row>
    <row r="38" ht="20.05" customHeight="1">
      <c r="B38" t="s" s="11">
        <v>34</v>
      </c>
      <c r="C38" s="18"/>
      <c r="D38" s="19"/>
      <c r="E38" s="19"/>
      <c r="F38" s="17">
        <f>-(C16+D16+E16+F16)/F36</f>
        <v>0.0229079688694201</v>
      </c>
    </row>
    <row r="39" ht="20.05" customHeight="1">
      <c r="B39" t="s" s="11">
        <v>3</v>
      </c>
      <c r="C39" s="18"/>
      <c r="D39" s="19"/>
      <c r="E39" s="19"/>
      <c r="F39" s="19">
        <f>SUM(C9:F11)</f>
        <v>749.015619689590</v>
      </c>
    </row>
    <row r="40" ht="20.05" customHeight="1">
      <c r="B40" t="s" s="11">
        <v>35</v>
      </c>
      <c r="C40" s="18"/>
      <c r="D40" s="19"/>
      <c r="E40" s="19"/>
      <c r="F40" s="19">
        <f>'Balance sheet'!E20/F39</f>
        <v>6.23885520830207</v>
      </c>
    </row>
    <row r="41" ht="20.05" customHeight="1">
      <c r="B41" t="s" s="11">
        <v>30</v>
      </c>
      <c r="C41" s="18"/>
      <c r="D41" s="19"/>
      <c r="E41" s="19"/>
      <c r="F41" s="19">
        <f>F36/F39</f>
        <v>11.3404737854735</v>
      </c>
    </row>
    <row r="42" ht="20.05" customHeight="1">
      <c r="B42" t="s" s="11">
        <v>36</v>
      </c>
      <c r="C42" s="18"/>
      <c r="D42" s="19"/>
      <c r="E42" s="19"/>
      <c r="F42" s="19">
        <v>16</v>
      </c>
    </row>
    <row r="43" ht="20.05" customHeight="1">
      <c r="B43" t="s" s="11">
        <v>37</v>
      </c>
      <c r="C43" s="18"/>
      <c r="D43" s="19"/>
      <c r="E43" s="19"/>
      <c r="F43" s="19">
        <f>F39*F42</f>
        <v>11984.2499150334</v>
      </c>
    </row>
    <row r="44" ht="20.05" customHeight="1">
      <c r="B44" t="s" s="11">
        <v>38</v>
      </c>
      <c r="C44" s="18"/>
      <c r="D44" s="19"/>
      <c r="E44" s="19"/>
      <c r="F44" s="19">
        <f>F36/F46</f>
        <v>2.8504</v>
      </c>
    </row>
    <row r="45" ht="20.05" customHeight="1">
      <c r="B45" t="s" s="11">
        <v>39</v>
      </c>
      <c r="C45" s="18"/>
      <c r="D45" s="19"/>
      <c r="E45" s="19"/>
      <c r="F45" s="19">
        <f>F43/F44</f>
        <v>4204.409877572760</v>
      </c>
    </row>
    <row r="46" ht="20.05" customHeight="1">
      <c r="B46" t="s" s="11">
        <v>40</v>
      </c>
      <c r="C46" s="18"/>
      <c r="D46" s="19"/>
      <c r="E46" s="19"/>
      <c r="F46" s="19">
        <v>2980</v>
      </c>
    </row>
    <row r="47" ht="20.05" customHeight="1">
      <c r="B47" t="s" s="11">
        <v>41</v>
      </c>
      <c r="C47" s="18"/>
      <c r="D47" s="19"/>
      <c r="E47" s="19"/>
      <c r="F47" s="17">
        <f>F45/F46-1</f>
        <v>0.410875797843208</v>
      </c>
    </row>
    <row r="48" ht="20.05" customHeight="1">
      <c r="B48" t="s" s="11">
        <v>42</v>
      </c>
      <c r="C48" s="18"/>
      <c r="D48" s="19"/>
      <c r="E48" s="19"/>
      <c r="F48" s="17">
        <f>'Sales'!B24/'Sales'!B20-1</f>
        <v>0.502076965279411</v>
      </c>
    </row>
    <row r="49" ht="20.05" customHeight="1">
      <c r="B49" t="s" s="11">
        <v>43</v>
      </c>
      <c r="C49" s="18"/>
      <c r="D49" s="19"/>
      <c r="E49" s="19"/>
      <c r="F49" s="17">
        <f>'Sales'!E27/'Sales'!D27-1</f>
        <v>0.0560735972432442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3:I28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9.9" customHeight="1" outlineLevelRow="0" outlineLevelCol="0"/>
  <cols>
    <col min="1" max="1" width="10.7109" style="26" customWidth="1"/>
    <col min="2" max="9" width="9.00781" style="26" customWidth="1"/>
    <col min="10" max="16384" width="16.3516" style="26" customWidth="1"/>
  </cols>
  <sheetData>
    <row r="1" ht="10.55" customHeight="1"/>
    <row r="2" ht="27.65" customHeight="1">
      <c r="A2" t="s" s="2">
        <v>5</v>
      </c>
      <c r="B2" s="2"/>
      <c r="C2" s="2"/>
      <c r="D2" s="2"/>
      <c r="E2" s="2"/>
      <c r="F2" s="2"/>
      <c r="G2" s="2"/>
      <c r="H2" s="2"/>
      <c r="I2" s="2"/>
    </row>
    <row r="3" ht="32.25" customHeight="1">
      <c r="A3" t="s" s="6">
        <v>1</v>
      </c>
      <c r="B3" t="s" s="6">
        <v>5</v>
      </c>
      <c r="C3" t="s" s="6">
        <v>36</v>
      </c>
      <c r="D3" t="s" s="6">
        <v>25</v>
      </c>
      <c r="E3" t="s" s="6">
        <v>22</v>
      </c>
      <c r="F3" t="s" s="6">
        <v>44</v>
      </c>
      <c r="G3" t="s" s="6">
        <v>45</v>
      </c>
      <c r="H3" t="s" s="6">
        <v>45</v>
      </c>
      <c r="I3" t="s" s="6">
        <v>36</v>
      </c>
    </row>
    <row r="4" ht="20.25" customHeight="1">
      <c r="A4" s="27">
        <v>2017</v>
      </c>
      <c r="B4" s="28"/>
      <c r="C4" s="29"/>
      <c r="D4" s="29"/>
      <c r="E4" s="29"/>
      <c r="F4" s="10"/>
      <c r="G4" s="10"/>
      <c r="H4" s="10"/>
      <c r="I4" s="10"/>
    </row>
    <row r="5" ht="20.05" customHeight="1">
      <c r="A5" s="30"/>
      <c r="B5" s="18"/>
      <c r="C5" s="19"/>
      <c r="D5" s="24"/>
      <c r="E5" s="24"/>
      <c r="F5" s="13"/>
      <c r="G5" s="13"/>
      <c r="H5" s="13"/>
      <c r="I5" s="13"/>
    </row>
    <row r="6" ht="20.05" customHeight="1">
      <c r="A6" s="30"/>
      <c r="B6" s="14">
        <v>1291</v>
      </c>
      <c r="C6" s="15"/>
      <c r="D6" s="15">
        <v>29</v>
      </c>
      <c r="E6" s="19">
        <v>98</v>
      </c>
      <c r="F6" s="13"/>
      <c r="G6" s="17">
        <f>(D6+E6-B6)/B6</f>
        <v>-0.901626646010844</v>
      </c>
      <c r="H6" s="17"/>
      <c r="I6" s="17"/>
    </row>
    <row r="7" ht="20.05" customHeight="1">
      <c r="A7" s="30"/>
      <c r="B7" s="14">
        <v>1427</v>
      </c>
      <c r="C7" s="15"/>
      <c r="D7" s="15">
        <v>36</v>
      </c>
      <c r="E7" s="19">
        <v>110</v>
      </c>
      <c r="F7" s="17">
        <f>B7/B6-1</f>
        <v>0.105344694035631</v>
      </c>
      <c r="G7" s="17">
        <f>(D7+E7-B7)/B7</f>
        <v>-0.897687456201822</v>
      </c>
      <c r="H7" s="17"/>
      <c r="I7" s="17"/>
    </row>
    <row r="8" ht="20.05" customHeight="1">
      <c r="A8" s="31">
        <v>2018</v>
      </c>
      <c r="B8" s="14">
        <v>1321</v>
      </c>
      <c r="C8" s="15"/>
      <c r="D8" s="15">
        <v>34</v>
      </c>
      <c r="E8" s="19">
        <v>97</v>
      </c>
      <c r="F8" s="17">
        <f>B8/B7-1</f>
        <v>-0.074281709880869</v>
      </c>
      <c r="G8" s="17">
        <f>(D8+E8-B8)/B8</f>
        <v>-0.900832702498107</v>
      </c>
      <c r="H8" s="17">
        <f>AVERAGE(G5:G8)</f>
        <v>-0.9000489349035909</v>
      </c>
      <c r="I8" s="17"/>
    </row>
    <row r="9" ht="20.05" customHeight="1">
      <c r="A9" s="30"/>
      <c r="B9" s="14">
        <v>1586</v>
      </c>
      <c r="C9" s="15"/>
      <c r="D9" s="15">
        <v>36</v>
      </c>
      <c r="E9" s="19">
        <v>-65</v>
      </c>
      <c r="F9" s="17">
        <f>B9/B8-1</f>
        <v>0.200605601816805</v>
      </c>
      <c r="G9" s="17">
        <f>(D9+E9-B9)/B9</f>
        <v>-1.01828499369483</v>
      </c>
      <c r="H9" s="17">
        <f>AVERAGE(G6:G9)</f>
        <v>-0.929607949601401</v>
      </c>
      <c r="I9" s="17"/>
    </row>
    <row r="10" ht="20.05" customHeight="1">
      <c r="A10" s="30"/>
      <c r="B10" s="14">
        <v>1607</v>
      </c>
      <c r="C10" s="15"/>
      <c r="D10" s="15">
        <v>38</v>
      </c>
      <c r="E10" s="19">
        <v>172</v>
      </c>
      <c r="F10" s="17">
        <f>B10/B9-1</f>
        <v>0.0132408575031526</v>
      </c>
      <c r="G10" s="17">
        <f>(D10+E10-B10)/B10</f>
        <v>-0.869321717485999</v>
      </c>
      <c r="H10" s="17">
        <f>AVERAGE(G7:G10)</f>
        <v>-0.92153171747019</v>
      </c>
      <c r="I10" s="17"/>
    </row>
    <row r="11" ht="20.05" customHeight="1">
      <c r="A11" s="30"/>
      <c r="B11" s="14">
        <v>1732</v>
      </c>
      <c r="C11" s="15"/>
      <c r="D11" s="15">
        <v>39</v>
      </c>
      <c r="E11" s="19">
        <v>149</v>
      </c>
      <c r="F11" s="17">
        <f>B11/B10-1</f>
        <v>0.07778469197261979</v>
      </c>
      <c r="G11" s="17">
        <f>(D11+E11-B11)/B11</f>
        <v>-0.891454965357968</v>
      </c>
      <c r="H11" s="17">
        <f>AVERAGE(G8:G11)</f>
        <v>-0.919973594759226</v>
      </c>
      <c r="I11" s="17"/>
    </row>
    <row r="12" ht="20.05" customHeight="1">
      <c r="A12" s="31">
        <v>2019</v>
      </c>
      <c r="B12" s="14">
        <v>1515</v>
      </c>
      <c r="C12" s="15"/>
      <c r="D12" s="15">
        <v>42</v>
      </c>
      <c r="E12" s="19">
        <v>141</v>
      </c>
      <c r="F12" s="17">
        <f>B12/B11-1</f>
        <v>-0.125288683602771</v>
      </c>
      <c r="G12" s="17">
        <f>(D12+E12-B12)/B12</f>
        <v>-0.879207920792079</v>
      </c>
      <c r="H12" s="17">
        <f>AVERAGE(G9:G12)</f>
        <v>-0.914567399332719</v>
      </c>
      <c r="I12" s="17"/>
    </row>
    <row r="13" ht="20.05" customHeight="1">
      <c r="A13" s="30"/>
      <c r="B13" s="14">
        <v>1957</v>
      </c>
      <c r="C13" s="15"/>
      <c r="D13" s="15">
        <v>42</v>
      </c>
      <c r="E13" s="19">
        <v>225</v>
      </c>
      <c r="F13" s="17">
        <f>B13/B12-1</f>
        <v>0.291749174917492</v>
      </c>
      <c r="G13" s="17">
        <f>(D13+E13-B13)/B13</f>
        <v>-0.86356668369954</v>
      </c>
      <c r="H13" s="17">
        <f>AVERAGE(G10:G13)</f>
        <v>-0.875887821833897</v>
      </c>
      <c r="I13" s="17"/>
    </row>
    <row r="14" ht="20.05" customHeight="1">
      <c r="A14" s="30"/>
      <c r="B14" s="14">
        <v>1885</v>
      </c>
      <c r="C14" s="15">
        <v>1976.61</v>
      </c>
      <c r="D14" s="15">
        <v>45</v>
      </c>
      <c r="E14" s="19">
        <v>176</v>
      </c>
      <c r="F14" s="17">
        <f>B14/B13-1</f>
        <v>-0.0367910066428206</v>
      </c>
      <c r="G14" s="17">
        <f>(D14+E14-B14)/B14</f>
        <v>-0.882758620689655</v>
      </c>
      <c r="H14" s="17">
        <f>AVERAGE(G11:G14)</f>
        <v>-0.879247047634811</v>
      </c>
      <c r="I14" s="17"/>
    </row>
    <row r="15" ht="20.05" customHeight="1">
      <c r="A15" s="30"/>
      <c r="B15" s="14">
        <v>2090.3</v>
      </c>
      <c r="C15" s="15">
        <v>2043.76</v>
      </c>
      <c r="D15" s="15">
        <v>36.7</v>
      </c>
      <c r="E15" s="19">
        <v>151.2</v>
      </c>
      <c r="F15" s="17">
        <f>B15/B14-1</f>
        <v>0.108912466843501</v>
      </c>
      <c r="G15" s="17">
        <f>(D15+E15-B15)/B15</f>
        <v>-0.910108596852126</v>
      </c>
      <c r="H15" s="17">
        <f>AVERAGE(G12:G15)</f>
        <v>-0.88391045550835</v>
      </c>
      <c r="I15" s="17"/>
    </row>
    <row r="16" ht="20.05" customHeight="1">
      <c r="A16" s="31">
        <v>2020</v>
      </c>
      <c r="B16" s="14">
        <v>1463.69</v>
      </c>
      <c r="C16" s="15">
        <v>1666.5</v>
      </c>
      <c r="D16" s="15">
        <v>160</v>
      </c>
      <c r="E16" s="19">
        <v>71.98</v>
      </c>
      <c r="F16" s="17">
        <f>B16/B15-1</f>
        <v>-0.299770367889777</v>
      </c>
      <c r="G16" s="17">
        <f>(D16+E16-B16)/B16</f>
        <v>-0.84151015583901</v>
      </c>
      <c r="H16" s="17">
        <f>AVERAGE(G13:G16)</f>
        <v>-0.874486014270083</v>
      </c>
      <c r="I16" s="17"/>
    </row>
    <row r="17" ht="20.05" customHeight="1">
      <c r="A17" s="30"/>
      <c r="B17" s="14">
        <v>653.3099999999999</v>
      </c>
      <c r="C17" s="15">
        <v>1467.75</v>
      </c>
      <c r="D17" s="15">
        <v>149</v>
      </c>
      <c r="E17" s="19">
        <v>-146.98</v>
      </c>
      <c r="F17" s="17">
        <f>B17/B16-1</f>
        <v>-0.553655487159166</v>
      </c>
      <c r="G17" s="17">
        <f>(D17+E17-B17)/B17</f>
        <v>-0.996908052838622</v>
      </c>
      <c r="H17" s="17">
        <f>AVERAGE(G14:G17)</f>
        <v>-0.907821356554853</v>
      </c>
      <c r="I17" s="17"/>
    </row>
    <row r="18" ht="20.05" customHeight="1">
      <c r="A18" s="30"/>
      <c r="B18" s="18">
        <v>1016</v>
      </c>
      <c r="C18" s="15">
        <v>1319.5</v>
      </c>
      <c r="D18" s="15">
        <f>450-SUM(D16:D17)</f>
        <v>141</v>
      </c>
      <c r="E18" s="19">
        <f>-113.69-SUM(E16:E17)</f>
        <v>-38.69</v>
      </c>
      <c r="F18" s="17">
        <f>B18/B17-1</f>
        <v>0.555157582158546</v>
      </c>
      <c r="G18" s="17">
        <f>(D18+E18-B18)/B18</f>
        <v>-0.899301181102362</v>
      </c>
      <c r="H18" s="17">
        <f>AVERAGE(G15:G18)</f>
        <v>-0.91195699665803</v>
      </c>
      <c r="I18" s="17"/>
    </row>
    <row r="19" ht="20.05" customHeight="1">
      <c r="A19" s="30"/>
      <c r="B19" s="18">
        <f>4781.5-SUM(B16:B18)</f>
        <v>1648.5</v>
      </c>
      <c r="C19" s="15">
        <v>1270</v>
      </c>
      <c r="D19" s="15">
        <f>603.2+21.1-SUM(D16:D18)</f>
        <v>174.3</v>
      </c>
      <c r="E19" s="19">
        <f>4.3-SUM(E16:E18)</f>
        <v>117.99</v>
      </c>
      <c r="F19" s="17">
        <f>B19/B18-1</f>
        <v>0.6225393700787401</v>
      </c>
      <c r="G19" s="17">
        <f>(D19+E19-B19)/B19</f>
        <v>-0.822693357597816</v>
      </c>
      <c r="H19" s="17">
        <f>AVERAGE(G16:G19)</f>
        <v>-0.890103186844453</v>
      </c>
      <c r="I19" s="17"/>
    </row>
    <row r="20" ht="20.05" customHeight="1">
      <c r="A20" s="31">
        <v>2021</v>
      </c>
      <c r="B20" s="14">
        <v>1275.9</v>
      </c>
      <c r="C20" s="15">
        <v>1566.075</v>
      </c>
      <c r="D20" s="19">
        <f>150.1+4</f>
        <v>154.1</v>
      </c>
      <c r="E20" s="19">
        <v>0.6</v>
      </c>
      <c r="F20" s="17">
        <f>B20/B19-1</f>
        <v>-0.226023657870792</v>
      </c>
      <c r="G20" s="17">
        <f>(D20+E20-B20)/B20</f>
        <v>-0.878752253311388</v>
      </c>
      <c r="H20" s="17">
        <f>AVERAGE(G17:G20)</f>
        <v>-0.899413711212547</v>
      </c>
      <c r="I20" s="17"/>
    </row>
    <row r="21" ht="20.05" customHeight="1">
      <c r="A21" s="30"/>
      <c r="B21" s="14">
        <f>2869.1-B20</f>
        <v>1593.2</v>
      </c>
      <c r="C21" s="15">
        <v>1594.875</v>
      </c>
      <c r="D21" s="19">
        <f>298.7+7.9-D20</f>
        <v>152.5</v>
      </c>
      <c r="E21" s="19">
        <f>92.2-E20</f>
        <v>91.59999999999999</v>
      </c>
      <c r="F21" s="17">
        <f>B21/B20-1</f>
        <v>0.248687201191316</v>
      </c>
      <c r="G21" s="17">
        <f>(D21+E21-B21)/B21</f>
        <v>-0.846786341953302</v>
      </c>
      <c r="H21" s="17">
        <f>AVERAGE(G18:G21)</f>
        <v>-0.861883283491217</v>
      </c>
      <c r="I21" s="17"/>
    </row>
    <row r="22" ht="20.05" customHeight="1">
      <c r="A22" s="30"/>
      <c r="B22" s="14">
        <f>3799.9-SUM(B20:B21)</f>
        <v>930.8</v>
      </c>
      <c r="C22" s="15">
        <v>1545.404</v>
      </c>
      <c r="D22" s="19">
        <f>444.8+11.9-SUM(D20:D21)</f>
        <v>150.1</v>
      </c>
      <c r="E22" s="19">
        <f>-14.9-SUM(E20:E21)</f>
        <v>-107.1</v>
      </c>
      <c r="F22" s="17">
        <f>B22/B21-1</f>
        <v>-0.415767009791614</v>
      </c>
      <c r="G22" s="17">
        <f>(D22+E22-B22)/B22</f>
        <v>-0.953803180060163</v>
      </c>
      <c r="H22" s="17">
        <f>AVERAGE(G19:G22)</f>
        <v>-0.8755087832306671</v>
      </c>
      <c r="I22" s="17"/>
    </row>
    <row r="23" ht="20.05" customHeight="1">
      <c r="A23" s="30"/>
      <c r="B23" s="14">
        <f>6042-SUM(B20:B22)</f>
        <v>2242.1</v>
      </c>
      <c r="C23" s="15">
        <v>1116.96</v>
      </c>
      <c r="D23" s="19">
        <f>607.2+15.8-SUM(D20:D22)</f>
        <v>166.3</v>
      </c>
      <c r="E23" s="19">
        <f>230.4-SUM(E20:E22)</f>
        <v>245.3</v>
      </c>
      <c r="F23" s="17">
        <f>B23/B22-1</f>
        <v>1.40878813923507</v>
      </c>
      <c r="G23" s="17">
        <f>(D23+E23-B23)/B23</f>
        <v>-0.81642210427724</v>
      </c>
      <c r="H23" s="17">
        <f>AVERAGE(G20:G23)</f>
        <v>-0.8739409699005229</v>
      </c>
      <c r="I23" s="17"/>
    </row>
    <row r="24" ht="20.05" customHeight="1">
      <c r="A24" s="31">
        <v>2022</v>
      </c>
      <c r="B24" s="14">
        <v>1916.5</v>
      </c>
      <c r="C24" s="15">
        <v>2085.153</v>
      </c>
      <c r="D24" s="23">
        <f>151.1+3.9</f>
        <v>155</v>
      </c>
      <c r="E24" s="19">
        <v>170.3</v>
      </c>
      <c r="F24" s="17">
        <f>B24/B23-1</f>
        <v>-0.145220998171357</v>
      </c>
      <c r="G24" s="17">
        <f>(D24+E24-B24)/B24</f>
        <v>-0.830263501174015</v>
      </c>
      <c r="H24" s="17">
        <f>AVERAGE(G21:G24)</f>
        <v>-0.86181878186618</v>
      </c>
      <c r="I24" s="17">
        <v>-0.8739409699005229</v>
      </c>
    </row>
    <row r="25" ht="20.05" customHeight="1">
      <c r="A25" s="30"/>
      <c r="B25" s="14"/>
      <c r="C25" s="15">
        <f>'Model'!C6</f>
        <v>2127.315</v>
      </c>
      <c r="D25" s="24"/>
      <c r="E25" s="19"/>
      <c r="F25" s="13"/>
      <c r="G25" s="24"/>
      <c r="H25" s="13"/>
      <c r="I25" s="13">
        <f>'Model'!C7</f>
        <v>-0.86181878186618</v>
      </c>
    </row>
    <row r="26" ht="20.05" customHeight="1">
      <c r="A26" s="30"/>
      <c r="B26" s="14"/>
      <c r="C26" s="15">
        <f>'Model'!D6</f>
        <v>2254.9539</v>
      </c>
      <c r="D26" s="24"/>
      <c r="E26" s="23"/>
      <c r="F26" s="13"/>
      <c r="G26" s="13"/>
      <c r="H26" s="13"/>
      <c r="I26" s="13"/>
    </row>
    <row r="27" ht="20.05" customHeight="1">
      <c r="A27" s="30"/>
      <c r="B27" s="14"/>
      <c r="C27" s="15">
        <f>'Model'!E6</f>
        <v>2525.548368</v>
      </c>
      <c r="D27" s="19">
        <f>SUM(B14:B24)</f>
        <v>16715.3</v>
      </c>
      <c r="E27" s="15">
        <f>SUM(C14:C24)</f>
        <v>17652.587</v>
      </c>
      <c r="F27" s="13"/>
      <c r="G27" s="13"/>
      <c r="H27" s="13"/>
      <c r="I27" s="13"/>
    </row>
    <row r="28" ht="20.05" customHeight="1">
      <c r="A28" s="31">
        <v>2023</v>
      </c>
      <c r="B28" s="14"/>
      <c r="C28" s="15">
        <f>'Model'!F6</f>
        <v>2272.9935312</v>
      </c>
      <c r="D28" s="24"/>
      <c r="E28" s="23"/>
      <c r="F28" s="13"/>
      <c r="G28" s="13"/>
      <c r="H28" s="13"/>
      <c r="I28" s="13"/>
    </row>
  </sheetData>
  <mergeCells count="1">
    <mergeCell ref="A2:I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2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78125" style="32" customWidth="1"/>
    <col min="2" max="2" width="9.53906" style="32" customWidth="1"/>
    <col min="3" max="3" width="11.5312" style="32" customWidth="1"/>
    <col min="4" max="4" width="9.36719" style="32" customWidth="1"/>
    <col min="5" max="5" width="10.8125" style="32" customWidth="1"/>
    <col min="6" max="6" width="9.36719" style="32" customWidth="1"/>
    <col min="7" max="16" width="10.125" style="32" customWidth="1"/>
    <col min="17" max="16384" width="16.3516" style="32" customWidth="1"/>
  </cols>
  <sheetData>
    <row r="1" ht="37.7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6">
        <v>1</v>
      </c>
      <c r="C3" t="s" s="6">
        <v>46</v>
      </c>
      <c r="D3" t="s" s="6">
        <v>47</v>
      </c>
      <c r="E3" t="s" s="6">
        <v>48</v>
      </c>
      <c r="F3" t="s" s="6">
        <v>49</v>
      </c>
      <c r="G3" t="s" s="6">
        <v>10</v>
      </c>
      <c r="H3" t="s" s="6">
        <v>12</v>
      </c>
      <c r="I3" t="s" s="6">
        <v>27</v>
      </c>
      <c r="J3" t="s" s="6">
        <v>11</v>
      </c>
      <c r="K3" t="s" s="6">
        <v>50</v>
      </c>
      <c r="L3" t="s" s="6">
        <v>3</v>
      </c>
      <c r="M3" t="s" s="6">
        <v>36</v>
      </c>
      <c r="N3" t="s" s="6">
        <v>31</v>
      </c>
      <c r="O3" t="s" s="6">
        <v>36</v>
      </c>
      <c r="P3" s="5"/>
    </row>
    <row r="4" ht="20.25" customHeight="1">
      <c r="B4" s="27">
        <v>2017</v>
      </c>
      <c r="C4" s="33">
        <v>0</v>
      </c>
      <c r="D4" s="34">
        <v>0</v>
      </c>
      <c r="E4" s="34">
        <v>0</v>
      </c>
      <c r="F4" s="34"/>
      <c r="G4" s="34"/>
      <c r="H4" s="34"/>
      <c r="I4" s="34"/>
      <c r="J4" s="34">
        <v>0</v>
      </c>
      <c r="K4" s="34"/>
      <c r="L4" s="34"/>
      <c r="M4" s="34"/>
      <c r="N4" s="34">
        <f>-J4-G4</f>
        <v>0</v>
      </c>
      <c r="O4" s="34"/>
      <c r="P4" s="34">
        <v>1</v>
      </c>
    </row>
    <row r="5" ht="20.05" customHeight="1">
      <c r="B5" s="30"/>
      <c r="C5" s="18">
        <v>2295</v>
      </c>
      <c r="D5" s="19">
        <v>75</v>
      </c>
      <c r="E5" s="19">
        <v>-66</v>
      </c>
      <c r="F5" s="19"/>
      <c r="G5" s="19"/>
      <c r="H5" s="19"/>
      <c r="I5" s="19"/>
      <c r="J5" s="19">
        <v>-48</v>
      </c>
      <c r="K5" s="19">
        <f>D5+E5</f>
        <v>9</v>
      </c>
      <c r="L5" s="19"/>
      <c r="M5" s="19"/>
      <c r="N5" s="19">
        <f>-(J5-G5)+N4</f>
        <v>48</v>
      </c>
      <c r="O5" s="19"/>
      <c r="P5" s="19">
        <f>1+P4</f>
        <v>2</v>
      </c>
    </row>
    <row r="6" ht="20.05" customHeight="1">
      <c r="B6" s="30"/>
      <c r="C6" s="18">
        <v>1348</v>
      </c>
      <c r="D6" s="19">
        <v>69</v>
      </c>
      <c r="E6" s="19">
        <v>-54</v>
      </c>
      <c r="F6" s="19"/>
      <c r="G6" s="19"/>
      <c r="H6" s="19"/>
      <c r="I6" s="19"/>
      <c r="J6" s="19">
        <v>-224</v>
      </c>
      <c r="K6" s="19">
        <f>D6+E6</f>
        <v>15</v>
      </c>
      <c r="L6" s="19"/>
      <c r="M6" s="19"/>
      <c r="N6" s="19">
        <f>-(J6-G6)+N5</f>
        <v>272</v>
      </c>
      <c r="O6" s="19"/>
      <c r="P6" s="19">
        <f>1+P5</f>
        <v>3</v>
      </c>
    </row>
    <row r="7" ht="20.05" customHeight="1">
      <c r="B7" s="30"/>
      <c r="C7" s="18">
        <v>1396</v>
      </c>
      <c r="D7" s="19">
        <v>357</v>
      </c>
      <c r="E7" s="19">
        <v>-59</v>
      </c>
      <c r="F7" s="19"/>
      <c r="G7" s="19"/>
      <c r="H7" s="19"/>
      <c r="I7" s="19"/>
      <c r="J7" s="19">
        <v>-140</v>
      </c>
      <c r="K7" s="19">
        <f>D7+E7</f>
        <v>298</v>
      </c>
      <c r="L7" s="19"/>
      <c r="M7" s="19"/>
      <c r="N7" s="19">
        <f>-(J7-G7)+N6</f>
        <v>412</v>
      </c>
      <c r="O7" s="19"/>
      <c r="P7" s="19">
        <f>1+P6</f>
        <v>4</v>
      </c>
    </row>
    <row r="8" ht="20.05" customHeight="1">
      <c r="B8" s="31">
        <v>2018</v>
      </c>
      <c r="C8" s="18">
        <v>1369</v>
      </c>
      <c r="D8" s="19">
        <v>203</v>
      </c>
      <c r="E8" s="19">
        <v>-76</v>
      </c>
      <c r="F8" s="19"/>
      <c r="G8" s="19"/>
      <c r="H8" s="19"/>
      <c r="I8" s="19"/>
      <c r="J8" s="19">
        <v>-46</v>
      </c>
      <c r="K8" s="19">
        <f>D8+E8</f>
        <v>127</v>
      </c>
      <c r="L8" s="19">
        <f>AVERAGE(K5:K8)</f>
        <v>112.25</v>
      </c>
      <c r="M8" s="19"/>
      <c r="N8" s="19">
        <f>-(J8-G8)+N7</f>
        <v>458</v>
      </c>
      <c r="O8" s="19"/>
      <c r="P8" s="19">
        <f>1+P7</f>
        <v>5</v>
      </c>
    </row>
    <row r="9" ht="20.05" customHeight="1">
      <c r="B9" s="30"/>
      <c r="C9" s="18">
        <v>1573</v>
      </c>
      <c r="D9" s="19">
        <v>216</v>
      </c>
      <c r="E9" s="19">
        <v>-51</v>
      </c>
      <c r="F9" s="19"/>
      <c r="G9" s="19"/>
      <c r="H9" s="19"/>
      <c r="I9" s="19"/>
      <c r="J9" s="19">
        <v>7</v>
      </c>
      <c r="K9" s="19">
        <f>D9+E9</f>
        <v>165</v>
      </c>
      <c r="L9" s="19">
        <f>AVERAGE(K6:K9)</f>
        <v>151.25</v>
      </c>
      <c r="M9" s="19"/>
      <c r="N9" s="19">
        <f>-(J9-G9)+N8</f>
        <v>451</v>
      </c>
      <c r="O9" s="19"/>
      <c r="P9" s="19">
        <f>1+P8</f>
        <v>6</v>
      </c>
    </row>
    <row r="10" ht="20.05" customHeight="1">
      <c r="B10" s="30"/>
      <c r="C10" s="18">
        <v>1639</v>
      </c>
      <c r="D10" s="19">
        <v>-18</v>
      </c>
      <c r="E10" s="19">
        <v>-70</v>
      </c>
      <c r="F10" s="19"/>
      <c r="G10" s="19"/>
      <c r="H10" s="19"/>
      <c r="I10" s="19"/>
      <c r="J10" s="19">
        <v>-4</v>
      </c>
      <c r="K10" s="19">
        <f>D10+E10</f>
        <v>-88</v>
      </c>
      <c r="L10" s="19">
        <f>AVERAGE(K7:K10)</f>
        <v>125.5</v>
      </c>
      <c r="M10" s="19"/>
      <c r="N10" s="19">
        <f>-(J10-G10)+N9</f>
        <v>455</v>
      </c>
      <c r="O10" s="19"/>
      <c r="P10" s="19">
        <f>1+P9</f>
        <v>7</v>
      </c>
    </row>
    <row r="11" ht="20.05" customHeight="1">
      <c r="B11" s="30"/>
      <c r="C11" s="18">
        <v>1722</v>
      </c>
      <c r="D11" s="19">
        <v>143</v>
      </c>
      <c r="E11" s="19">
        <v>-83</v>
      </c>
      <c r="F11" s="19"/>
      <c r="G11" s="19"/>
      <c r="H11" s="19"/>
      <c r="I11" s="19"/>
      <c r="J11" s="19">
        <v>9</v>
      </c>
      <c r="K11" s="19">
        <f>D11+E11</f>
        <v>60</v>
      </c>
      <c r="L11" s="19">
        <f>AVERAGE(K8:K11)</f>
        <v>66</v>
      </c>
      <c r="M11" s="19"/>
      <c r="N11" s="19">
        <f>-(J11-G11)+N10</f>
        <v>446</v>
      </c>
      <c r="O11" s="19"/>
      <c r="P11" s="19">
        <f>1+P10</f>
        <v>8</v>
      </c>
    </row>
    <row r="12" ht="20.05" customHeight="1">
      <c r="B12" s="31">
        <v>2019</v>
      </c>
      <c r="C12" s="18">
        <v>1496</v>
      </c>
      <c r="D12" s="19">
        <v>-77</v>
      </c>
      <c r="E12" s="19">
        <v>-56</v>
      </c>
      <c r="F12" s="19"/>
      <c r="G12" s="19"/>
      <c r="H12" s="19"/>
      <c r="I12" s="19"/>
      <c r="J12" s="19">
        <v>-53</v>
      </c>
      <c r="K12" s="19">
        <f>D12+E12</f>
        <v>-133</v>
      </c>
      <c r="L12" s="19">
        <f>AVERAGE(K9:K12)</f>
        <v>1</v>
      </c>
      <c r="M12" s="19"/>
      <c r="N12" s="19">
        <f>-(J12-G12)+N11</f>
        <v>499</v>
      </c>
      <c r="O12" s="19"/>
      <c r="P12" s="19">
        <f>1+P11</f>
        <v>9</v>
      </c>
    </row>
    <row r="13" ht="20.05" customHeight="1">
      <c r="B13" s="30"/>
      <c r="C13" s="18">
        <v>1906</v>
      </c>
      <c r="D13" s="19">
        <v>332</v>
      </c>
      <c r="E13" s="19">
        <v>-53</v>
      </c>
      <c r="F13" s="19"/>
      <c r="G13" s="19"/>
      <c r="H13" s="19"/>
      <c r="I13" s="19"/>
      <c r="J13" s="19">
        <v>-427</v>
      </c>
      <c r="K13" s="19">
        <f>D13+E13</f>
        <v>279</v>
      </c>
      <c r="L13" s="19">
        <f>AVERAGE(K10:K13)</f>
        <v>29.5</v>
      </c>
      <c r="M13" s="19"/>
      <c r="N13" s="19">
        <f>-(J13-G13)+N12</f>
        <v>926</v>
      </c>
      <c r="O13" s="19"/>
      <c r="P13" s="19">
        <f>1+P12</f>
        <v>10</v>
      </c>
    </row>
    <row r="14" ht="20.05" customHeight="1">
      <c r="B14" s="30"/>
      <c r="C14" s="18">
        <v>1992</v>
      </c>
      <c r="D14" s="19">
        <v>183</v>
      </c>
      <c r="E14" s="19">
        <v>-85</v>
      </c>
      <c r="F14" s="19"/>
      <c r="G14" s="19"/>
      <c r="H14" s="19"/>
      <c r="I14" s="19"/>
      <c r="J14" s="19">
        <v>8</v>
      </c>
      <c r="K14" s="19">
        <f>D14+E14</f>
        <v>98</v>
      </c>
      <c r="L14" s="19">
        <f>AVERAGE(K11:K14)</f>
        <v>76</v>
      </c>
      <c r="M14" s="19"/>
      <c r="N14" s="19">
        <f>-(J14-G14)+N13</f>
        <v>918</v>
      </c>
      <c r="O14" s="19"/>
      <c r="P14" s="19">
        <f>1+P13</f>
        <v>11</v>
      </c>
    </row>
    <row r="15" ht="20.05" customHeight="1">
      <c r="B15" s="30"/>
      <c r="C15" s="18">
        <v>2056.3</v>
      </c>
      <c r="D15" s="19">
        <v>385.7</v>
      </c>
      <c r="E15" s="19">
        <v>-107.4</v>
      </c>
      <c r="F15" s="19"/>
      <c r="G15" s="19"/>
      <c r="H15" s="19"/>
      <c r="I15" s="19"/>
      <c r="J15" s="19">
        <v>18</v>
      </c>
      <c r="K15" s="19">
        <f>D15+E15+G15</f>
        <v>278.3</v>
      </c>
      <c r="L15" s="19">
        <f>AVERAGE(K12:K15)</f>
        <v>130.575</v>
      </c>
      <c r="M15" s="19"/>
      <c r="N15" s="19">
        <f>-(J15-G15)+N14</f>
        <v>900</v>
      </c>
      <c r="O15" s="19"/>
      <c r="P15" s="19">
        <f>1+P14</f>
        <v>12</v>
      </c>
    </row>
    <row r="16" ht="20.05" customHeight="1">
      <c r="B16" s="31">
        <v>2020</v>
      </c>
      <c r="C16" s="18">
        <v>1500.2</v>
      </c>
      <c r="D16" s="19">
        <v>-204.56</v>
      </c>
      <c r="E16" s="19">
        <v>-38.4</v>
      </c>
      <c r="F16" s="19"/>
      <c r="G16" s="23">
        <v>-46</v>
      </c>
      <c r="H16" s="19"/>
      <c r="I16" s="19"/>
      <c r="J16" s="19">
        <v>447.3</v>
      </c>
      <c r="K16" s="19">
        <f>D16+E16+G16</f>
        <v>-288.96</v>
      </c>
      <c r="L16" s="19">
        <f>AVERAGE(K13:K16)</f>
        <v>91.58499999999999</v>
      </c>
      <c r="M16" s="19"/>
      <c r="N16" s="19">
        <f>-(J16-G16)+N15</f>
        <v>406.7</v>
      </c>
      <c r="O16" s="19"/>
      <c r="P16" s="19">
        <f>1+P15</f>
        <v>13</v>
      </c>
    </row>
    <row r="17" ht="20.05" customHeight="1">
      <c r="B17" s="30"/>
      <c r="C17" s="18">
        <v>625.8</v>
      </c>
      <c r="D17" s="19">
        <v>-183.44</v>
      </c>
      <c r="E17" s="19">
        <v>7.9</v>
      </c>
      <c r="F17" s="19">
        <f>-13.6-F16</f>
        <v>-13.6</v>
      </c>
      <c r="G17" s="23">
        <v>-46</v>
      </c>
      <c r="H17" s="19"/>
      <c r="I17" s="19"/>
      <c r="J17" s="19">
        <v>147.7</v>
      </c>
      <c r="K17" s="19">
        <f>D17+E17+G17</f>
        <v>-221.54</v>
      </c>
      <c r="L17" s="19">
        <f>AVERAGE(K14:K17)</f>
        <v>-33.55</v>
      </c>
      <c r="M17" s="19"/>
      <c r="N17" s="19">
        <f>-(J17-G17)+N16</f>
        <v>213</v>
      </c>
      <c r="O17" s="19"/>
      <c r="P17" s="19">
        <f>1+P16</f>
        <v>14</v>
      </c>
    </row>
    <row r="18" ht="20.05" customHeight="1">
      <c r="B18" s="30"/>
      <c r="C18" s="18">
        <f>3178.3-SUM(C16:C17)</f>
        <v>1052.3</v>
      </c>
      <c r="D18" s="19">
        <f>-308.66-SUM(D16:D17)</f>
        <v>79.34</v>
      </c>
      <c r="E18" s="19">
        <f>-164.68-SUM(E16:E17)</f>
        <v>-134.18</v>
      </c>
      <c r="F18" s="23"/>
      <c r="G18" s="23">
        <v>-46</v>
      </c>
      <c r="H18" s="19"/>
      <c r="I18" s="19"/>
      <c r="J18" s="19">
        <f>481-SUM(J16:J17)</f>
        <v>-114</v>
      </c>
      <c r="K18" s="19">
        <f>D18+E18+G18</f>
        <v>-100.84</v>
      </c>
      <c r="L18" s="19">
        <f>AVERAGE(K15:K18)</f>
        <v>-83.26000000000001</v>
      </c>
      <c r="M18" s="19"/>
      <c r="N18" s="19">
        <f>-(J18-G18)+N17</f>
        <v>281</v>
      </c>
      <c r="O18" s="19"/>
      <c r="P18" s="19">
        <f>1+P17</f>
        <v>15</v>
      </c>
    </row>
    <row r="19" ht="20.05" customHeight="1">
      <c r="B19" s="30"/>
      <c r="C19" s="18">
        <f>4732.2-SUM(C16:C18)</f>
        <v>1553.9</v>
      </c>
      <c r="D19" s="19">
        <f>59.7-SUM(D16:D18)</f>
        <v>368.36</v>
      </c>
      <c r="E19" s="19">
        <f>-190.6-SUM(E16:E18)</f>
        <v>-25.92</v>
      </c>
      <c r="F19" s="23"/>
      <c r="G19" s="23">
        <v>-46</v>
      </c>
      <c r="H19" s="19"/>
      <c r="I19" s="19"/>
      <c r="J19" s="19">
        <f>184.3-SUM(J16:J18)</f>
        <v>-296.7</v>
      </c>
      <c r="K19" s="19">
        <f>D19+E19+G19</f>
        <v>296.44</v>
      </c>
      <c r="L19" s="19">
        <f>AVERAGE(K16:K19)</f>
        <v>-78.72499999999999</v>
      </c>
      <c r="M19" s="19"/>
      <c r="N19" s="19">
        <f>-(J19-G19)+N18</f>
        <v>531.7</v>
      </c>
      <c r="O19" s="19"/>
      <c r="P19" s="19">
        <f>1+P18</f>
        <v>16</v>
      </c>
    </row>
    <row r="20" ht="20.05" customHeight="1">
      <c r="B20" s="31">
        <v>2021</v>
      </c>
      <c r="C20" s="18">
        <v>1294.9</v>
      </c>
      <c r="D20" s="19">
        <v>-44.1</v>
      </c>
      <c r="E20" s="19">
        <v>-6.5</v>
      </c>
      <c r="F20" s="19">
        <f>-10.331</f>
        <v>-10.331</v>
      </c>
      <c r="G20" s="19">
        <v>-14</v>
      </c>
      <c r="H20" s="19">
        <f>-112.887-G20-F20-I20</f>
        <v>-102.271</v>
      </c>
      <c r="I20" s="19">
        <v>13.715</v>
      </c>
      <c r="J20" s="19">
        <f>-112.9</f>
        <v>-112.9</v>
      </c>
      <c r="K20" s="19">
        <f>D20+E20+G20</f>
        <v>-64.59999999999999</v>
      </c>
      <c r="L20" s="19">
        <f>AVERAGE(K17:K20)</f>
        <v>-22.635</v>
      </c>
      <c r="M20" s="19"/>
      <c r="N20" s="19">
        <f>-(H20+I20)+N19</f>
        <v>620.256</v>
      </c>
      <c r="O20" s="19"/>
      <c r="P20" s="19">
        <f>1+P19</f>
        <v>17</v>
      </c>
    </row>
    <row r="21" ht="20.05" customHeight="1">
      <c r="B21" s="30"/>
      <c r="C21" s="18">
        <f>2925-C20</f>
        <v>1630.1</v>
      </c>
      <c r="D21" s="19">
        <f>106.9-D20</f>
        <v>151</v>
      </c>
      <c r="E21" s="19">
        <f>-39-E20</f>
        <v>-32.5</v>
      </c>
      <c r="F21" s="19">
        <f>-18.5-F20</f>
        <v>-8.169</v>
      </c>
      <c r="G21" s="19">
        <f>-58.5-G20</f>
        <v>-44.5</v>
      </c>
      <c r="H21" s="19">
        <f>-254.115-F21-F20-G21-G20-I21-I20-H20</f>
        <v>-88.559</v>
      </c>
      <c r="I21" s="19">
        <f>13.715-I20</f>
        <v>0</v>
      </c>
      <c r="J21" s="19">
        <f>-254.1-J20</f>
        <v>-141.2</v>
      </c>
      <c r="K21" s="19">
        <f>D21+E21+G21</f>
        <v>74</v>
      </c>
      <c r="L21" s="19">
        <f>AVERAGE(K18:K21)</f>
        <v>51.25</v>
      </c>
      <c r="M21" s="19"/>
      <c r="N21" s="19">
        <f>-(H21+I21)+N20</f>
        <v>708.8150000000001</v>
      </c>
      <c r="O21" s="19"/>
      <c r="P21" s="19">
        <f>1+P20</f>
        <v>18</v>
      </c>
    </row>
    <row r="22" ht="20.05" customHeight="1">
      <c r="B22" s="30"/>
      <c r="C22" s="18">
        <f>3854.9-SUM(C20:C21)</f>
        <v>929.9</v>
      </c>
      <c r="D22" s="19">
        <f>261.6-SUM(D20:D21)</f>
        <v>154.7</v>
      </c>
      <c r="E22" s="19">
        <f>-61.2-SUM(E20:E21)</f>
        <v>-22.2</v>
      </c>
      <c r="F22" s="19">
        <f>-28-SUM(F20:F21)</f>
        <v>-9.5</v>
      </c>
      <c r="G22" s="19">
        <f>-155.7-SUM(G20:G21)</f>
        <v>-97.2</v>
      </c>
      <c r="H22" s="19">
        <f>-310.599-F22-F21-F20-G22-G21-G20-H21-H20-I22-I21-I20</f>
        <v>50.216</v>
      </c>
      <c r="I22" s="19">
        <f>13.715-I21-I20</f>
        <v>0</v>
      </c>
      <c r="J22" s="19">
        <f>-310.6-SUM(J20:J21)</f>
        <v>-56.5</v>
      </c>
      <c r="K22" s="19">
        <f>D22+E22+G22</f>
        <v>35.3</v>
      </c>
      <c r="L22" s="19">
        <f>AVERAGE(K19:K22)</f>
        <v>85.285</v>
      </c>
      <c r="M22" s="19"/>
      <c r="N22" s="19">
        <f>-(H22+I22)+N21</f>
        <v>658.599</v>
      </c>
      <c r="O22" s="19"/>
      <c r="P22" s="19">
        <f>1+P21</f>
        <v>19</v>
      </c>
    </row>
    <row r="23" ht="20.05" customHeight="1">
      <c r="B23" s="30"/>
      <c r="C23" s="18">
        <f>6019.9-SUM(C20:C22)</f>
        <v>2165</v>
      </c>
      <c r="D23" s="19">
        <f>884.1-SUM(D20:D22)</f>
        <v>622.5</v>
      </c>
      <c r="E23" s="19">
        <f>-119-SUM(E20:E22)</f>
        <v>-57.8</v>
      </c>
      <c r="F23" s="19">
        <f>-36.2-SUM(F20:F22)</f>
        <v>-8.199999999999999</v>
      </c>
      <c r="G23" s="19">
        <f>-213.9-SUM(G20:G22)</f>
        <v>-58.2</v>
      </c>
      <c r="H23" s="19">
        <f>J23-I23-G23-F23</f>
        <v>-325.101</v>
      </c>
      <c r="I23" s="19">
        <f>13.716-SUM(I20:I22)</f>
        <v>0.001</v>
      </c>
      <c r="J23" s="19">
        <f>-702.1-SUM(J20:J22)</f>
        <v>-391.5</v>
      </c>
      <c r="K23" s="19">
        <f>D23+E23+G23</f>
        <v>506.5</v>
      </c>
      <c r="L23" s="19">
        <f>AVERAGE(K20:K23)</f>
        <v>137.8</v>
      </c>
      <c r="M23" s="19"/>
      <c r="N23" s="19">
        <f>-(H23+I23)+N22</f>
        <v>983.699</v>
      </c>
      <c r="O23" s="19"/>
      <c r="P23" s="19">
        <f>1+P22</f>
        <v>20</v>
      </c>
    </row>
    <row r="24" ht="20.05" customHeight="1">
      <c r="B24" s="31">
        <v>2022</v>
      </c>
      <c r="C24" s="18">
        <v>1928.3</v>
      </c>
      <c r="D24" s="19">
        <v>268.3</v>
      </c>
      <c r="E24" s="19">
        <v>-71.8</v>
      </c>
      <c r="F24" s="19">
        <v>-9.300000000000001</v>
      </c>
      <c r="G24" s="19">
        <v>-65.09999999999999</v>
      </c>
      <c r="H24" s="19">
        <f>J24-I24-G24-F24</f>
        <v>-51.5</v>
      </c>
      <c r="I24" s="19">
        <v>0</v>
      </c>
      <c r="J24" s="19">
        <v>-125.9</v>
      </c>
      <c r="K24" s="19">
        <f>D24+E24+G24</f>
        <v>131.4</v>
      </c>
      <c r="L24" s="19">
        <f>AVERAGE(K21:K24)</f>
        <v>186.8</v>
      </c>
      <c r="M24" s="19">
        <v>259.327546838730</v>
      </c>
      <c r="N24" s="19">
        <f>-(H24+I24)+N23</f>
        <v>1035.199</v>
      </c>
      <c r="O24" s="19">
        <v>1337.725500246380</v>
      </c>
      <c r="P24" s="19">
        <f>1+P23</f>
        <v>21</v>
      </c>
    </row>
    <row r="25" ht="20.05" customHeight="1">
      <c r="B25" s="30"/>
      <c r="C25" s="18"/>
      <c r="D25" s="19"/>
      <c r="E25" s="19"/>
      <c r="F25" s="19"/>
      <c r="G25" s="19"/>
      <c r="H25" s="19"/>
      <c r="I25" s="19"/>
      <c r="J25" s="19"/>
      <c r="K25" s="19"/>
      <c r="L25" s="24"/>
      <c r="M25" s="19">
        <f>SUM('Model'!F9:F11)</f>
        <v>184.185014951510</v>
      </c>
      <c r="N25" s="24"/>
      <c r="O25" s="19">
        <f>'Model'!F34</f>
        <v>1601.884148406880</v>
      </c>
      <c r="P25" s="19"/>
    </row>
  </sheetData>
  <mergeCells count="1">
    <mergeCell ref="B2:P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5" customWidth="1"/>
    <col min="2" max="2" width="7.50781" style="35" customWidth="1"/>
    <col min="3" max="11" width="9.4375" style="35" customWidth="1"/>
    <col min="12" max="16384" width="16.3516" style="35" customWidth="1"/>
  </cols>
  <sheetData>
    <row r="1" ht="35.7" customHeight="1"/>
    <row r="2" ht="27.65" customHeight="1">
      <c r="B2" t="s" s="2">
        <v>23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6">
        <v>1</v>
      </c>
      <c r="C3" t="s" s="6">
        <v>51</v>
      </c>
      <c r="D3" t="s" s="6">
        <v>52</v>
      </c>
      <c r="E3" t="s" s="6">
        <v>53</v>
      </c>
      <c r="F3" t="s" s="6">
        <v>25</v>
      </c>
      <c r="G3" t="s" s="6">
        <v>12</v>
      </c>
      <c r="H3" t="s" s="6">
        <v>27</v>
      </c>
      <c r="I3" t="s" s="6">
        <v>54</v>
      </c>
      <c r="J3" t="s" s="6">
        <v>55</v>
      </c>
      <c r="K3" t="s" s="6">
        <v>36</v>
      </c>
    </row>
    <row r="4" ht="20.25" customHeight="1">
      <c r="B4" s="27">
        <v>2018</v>
      </c>
      <c r="C4" s="33"/>
      <c r="D4" s="34"/>
      <c r="E4" s="34">
        <f>D4-C4</f>
        <v>0</v>
      </c>
      <c r="F4" s="34"/>
      <c r="G4" s="34"/>
      <c r="H4" s="34"/>
      <c r="I4" s="34"/>
      <c r="J4" s="34"/>
      <c r="K4" s="34"/>
    </row>
    <row r="5" ht="20.05" customHeight="1">
      <c r="B5" s="30"/>
      <c r="C5" s="18">
        <v>491</v>
      </c>
      <c r="D5" s="19">
        <v>3106</v>
      </c>
      <c r="E5" s="19">
        <f>D5-C5</f>
        <v>2615</v>
      </c>
      <c r="F5" s="19"/>
      <c r="G5" s="19">
        <v>2079</v>
      </c>
      <c r="H5" s="19">
        <v>1027</v>
      </c>
      <c r="I5" s="19">
        <f>G5+H5-C5-E5</f>
        <v>0</v>
      </c>
      <c r="J5" s="19">
        <f>C5-G5</f>
        <v>-1588</v>
      </c>
      <c r="K5" s="19"/>
    </row>
    <row r="6" ht="20.05" customHeight="1">
      <c r="B6" s="30"/>
      <c r="C6" s="18">
        <v>399</v>
      </c>
      <c r="D6" s="19">
        <v>3448</v>
      </c>
      <c r="E6" s="19">
        <f>D6-C6</f>
        <v>3049</v>
      </c>
      <c r="F6" s="19"/>
      <c r="G6" s="19">
        <v>1263</v>
      </c>
      <c r="H6" s="19">
        <v>2185</v>
      </c>
      <c r="I6" s="19">
        <f>G6+H6-C6-E6</f>
        <v>0</v>
      </c>
      <c r="J6" s="19">
        <f>C6-G6</f>
        <v>-864</v>
      </c>
      <c r="K6" s="19"/>
    </row>
    <row r="7" ht="20.05" customHeight="1">
      <c r="B7" s="30"/>
      <c r="C7" s="18">
        <v>467</v>
      </c>
      <c r="D7" s="19">
        <v>3645</v>
      </c>
      <c r="E7" s="19">
        <f>D7-C7</f>
        <v>3178</v>
      </c>
      <c r="F7" s="19"/>
      <c r="G7" s="19">
        <v>1310</v>
      </c>
      <c r="H7" s="19">
        <v>2335</v>
      </c>
      <c r="I7" s="19">
        <f>G7+H7-C7-E7</f>
        <v>0</v>
      </c>
      <c r="J7" s="19">
        <f>C7-G7</f>
        <v>-843</v>
      </c>
      <c r="K7" s="19"/>
    </row>
    <row r="8" ht="20.05" customHeight="1">
      <c r="B8" s="31">
        <v>2019</v>
      </c>
      <c r="C8" s="18">
        <v>282</v>
      </c>
      <c r="D8" s="19">
        <v>3875</v>
      </c>
      <c r="E8" s="19">
        <f>D8-C8</f>
        <v>3593</v>
      </c>
      <c r="F8" s="19"/>
      <c r="G8" s="19">
        <v>1399</v>
      </c>
      <c r="H8" s="19">
        <v>2476</v>
      </c>
      <c r="I8" s="19">
        <f>G8+H8-C8-E8</f>
        <v>0</v>
      </c>
      <c r="J8" s="19">
        <f>C8-G8</f>
        <v>-1117</v>
      </c>
      <c r="K8" s="19"/>
    </row>
    <row r="9" ht="20.05" customHeight="1">
      <c r="B9" s="30"/>
      <c r="C9" s="18">
        <v>133</v>
      </c>
      <c r="D9" s="19">
        <v>3748</v>
      </c>
      <c r="E9" s="19">
        <f>D9-C9</f>
        <v>3615</v>
      </c>
      <c r="F9" s="19"/>
      <c r="G9" s="19">
        <v>1048</v>
      </c>
      <c r="H9" s="19">
        <v>2700</v>
      </c>
      <c r="I9" s="19">
        <f>G9+H9-C9-E9</f>
        <v>0</v>
      </c>
      <c r="J9" s="19">
        <f>C9-G9</f>
        <v>-915</v>
      </c>
      <c r="K9" s="19"/>
    </row>
    <row r="10" ht="20.05" customHeight="1">
      <c r="B10" s="30"/>
      <c r="C10" s="18">
        <v>238</v>
      </c>
      <c r="D10" s="19">
        <v>3788</v>
      </c>
      <c r="E10" s="19">
        <f>D10-C10</f>
        <v>3550</v>
      </c>
      <c r="F10" s="19"/>
      <c r="G10" s="19">
        <v>911</v>
      </c>
      <c r="H10" s="19">
        <v>2877</v>
      </c>
      <c r="I10" s="19">
        <f>G10+H10-C10-E10</f>
        <v>0</v>
      </c>
      <c r="J10" s="19">
        <f>C10-G10</f>
        <v>-673</v>
      </c>
      <c r="K10" s="19"/>
    </row>
    <row r="11" ht="20.05" customHeight="1">
      <c r="B11" s="30"/>
      <c r="C11" s="18">
        <v>535.2</v>
      </c>
      <c r="D11" s="19">
        <v>4065.5</v>
      </c>
      <c r="E11" s="19">
        <f>D11-C11</f>
        <v>3530.3</v>
      </c>
      <c r="F11" s="19"/>
      <c r="G11" s="19">
        <v>1048.5</v>
      </c>
      <c r="H11" s="19">
        <v>3017</v>
      </c>
      <c r="I11" s="19">
        <f>G11+H11-C11-E11</f>
        <v>0</v>
      </c>
      <c r="J11" s="19">
        <f>C11-G11</f>
        <v>-513.3</v>
      </c>
      <c r="K11" s="19"/>
    </row>
    <row r="12" ht="20.05" customHeight="1">
      <c r="B12" s="31">
        <v>2020</v>
      </c>
      <c r="C12" s="18">
        <v>740</v>
      </c>
      <c r="D12" s="19">
        <v>5379</v>
      </c>
      <c r="E12" s="19">
        <f>D12-C12</f>
        <v>4639</v>
      </c>
      <c r="F12" s="19"/>
      <c r="G12" s="19">
        <v>2317</v>
      </c>
      <c r="H12" s="19">
        <v>3062</v>
      </c>
      <c r="I12" s="19">
        <f>G12+H12-C12-E12</f>
        <v>0</v>
      </c>
      <c r="J12" s="19">
        <f>C12-G12</f>
        <v>-1577</v>
      </c>
      <c r="K12" s="19"/>
    </row>
    <row r="13" ht="20.05" customHeight="1">
      <c r="B13" s="30"/>
      <c r="C13" s="18">
        <v>712</v>
      </c>
      <c r="D13" s="19">
        <v>5390</v>
      </c>
      <c r="E13" s="19">
        <f>D13-C13</f>
        <v>4678</v>
      </c>
      <c r="F13" s="19"/>
      <c r="G13" s="19">
        <v>2484</v>
      </c>
      <c r="H13" s="19">
        <v>2906</v>
      </c>
      <c r="I13" s="19">
        <f>G13+H13-C13-E13</f>
        <v>0</v>
      </c>
      <c r="J13" s="19">
        <f>C13-G13</f>
        <v>-1772</v>
      </c>
      <c r="K13" s="19"/>
    </row>
    <row r="14" ht="20.05" customHeight="1">
      <c r="B14" s="30"/>
      <c r="C14" s="18">
        <v>554</v>
      </c>
      <c r="D14" s="19">
        <v>5741</v>
      </c>
      <c r="E14" s="19">
        <f>D14-C14</f>
        <v>5187</v>
      </c>
      <c r="F14" s="19">
        <f>891+986</f>
        <v>1877</v>
      </c>
      <c r="G14" s="19">
        <v>2871</v>
      </c>
      <c r="H14" s="19">
        <v>2870</v>
      </c>
      <c r="I14" s="19">
        <f>G14+H14-C14-E14</f>
        <v>0</v>
      </c>
      <c r="J14" s="19">
        <f>C14-G14</f>
        <v>-2317</v>
      </c>
      <c r="K14" s="19"/>
    </row>
    <row r="15" ht="20.05" customHeight="1">
      <c r="B15" s="30"/>
      <c r="C15" s="18">
        <v>599</v>
      </c>
      <c r="D15" s="19">
        <v>5382</v>
      </c>
      <c r="E15" s="19">
        <f>D15-C15</f>
        <v>4783</v>
      </c>
      <c r="F15" s="19">
        <f>855+996</f>
        <v>1851</v>
      </c>
      <c r="G15" s="19">
        <v>2393</v>
      </c>
      <c r="H15" s="19">
        <v>2989</v>
      </c>
      <c r="I15" s="19">
        <f>G15+H15-C15-E15</f>
        <v>0</v>
      </c>
      <c r="J15" s="19">
        <f>C15-G15</f>
        <v>-1794</v>
      </c>
      <c r="K15" s="19"/>
    </row>
    <row r="16" ht="20.05" customHeight="1">
      <c r="B16" s="31">
        <v>2021</v>
      </c>
      <c r="C16" s="18">
        <v>436</v>
      </c>
      <c r="D16" s="19">
        <v>5378</v>
      </c>
      <c r="E16" s="19">
        <f>D16-C16</f>
        <v>4942</v>
      </c>
      <c r="F16" s="19">
        <f>904+1036</f>
        <v>1940</v>
      </c>
      <c r="G16" s="19">
        <v>2373</v>
      </c>
      <c r="H16" s="19">
        <v>3005</v>
      </c>
      <c r="I16" s="19">
        <f>G16+H16-C16-E16</f>
        <v>0</v>
      </c>
      <c r="J16" s="19">
        <f>C16-G16</f>
        <v>-1937</v>
      </c>
      <c r="K16" s="19"/>
    </row>
    <row r="17" ht="20.05" customHeight="1">
      <c r="B17" s="30"/>
      <c r="C17" s="18">
        <v>413</v>
      </c>
      <c r="D17" s="19">
        <v>5384</v>
      </c>
      <c r="E17" s="19">
        <f>D17-C17</f>
        <v>4971</v>
      </c>
      <c r="F17" s="19">
        <f>948+1046</f>
        <v>1994</v>
      </c>
      <c r="G17" s="19">
        <v>2292</v>
      </c>
      <c r="H17" s="19">
        <v>3092</v>
      </c>
      <c r="I17" s="19">
        <f>G17+H17-C17-E17</f>
        <v>0</v>
      </c>
      <c r="J17" s="19">
        <f>C17-G17</f>
        <v>-1879</v>
      </c>
      <c r="K17" s="19"/>
    </row>
    <row r="18" ht="20.05" customHeight="1">
      <c r="B18" s="30"/>
      <c r="C18" s="18">
        <v>489</v>
      </c>
      <c r="D18" s="19">
        <v>5346</v>
      </c>
      <c r="E18" s="19">
        <f>D18-C18</f>
        <v>4857</v>
      </c>
      <c r="F18" s="19">
        <f>987+1032</f>
        <v>2019</v>
      </c>
      <c r="G18" s="19">
        <v>2380</v>
      </c>
      <c r="H18" s="19">
        <v>2966</v>
      </c>
      <c r="I18" s="19">
        <f>G18+H18-C18-E18</f>
        <v>0</v>
      </c>
      <c r="J18" s="19">
        <f>C18-G18</f>
        <v>-1891</v>
      </c>
      <c r="K18" s="19"/>
    </row>
    <row r="19" ht="20.05" customHeight="1">
      <c r="B19" s="30"/>
      <c r="C19" s="18">
        <v>664</v>
      </c>
      <c r="D19" s="19">
        <v>5319</v>
      </c>
      <c r="E19" s="19">
        <f>D19-C19</f>
        <v>4655</v>
      </c>
      <c r="F19" s="19">
        <f>1035+1038</f>
        <v>2073</v>
      </c>
      <c r="G19" s="19">
        <v>2088</v>
      </c>
      <c r="H19" s="19">
        <v>3231</v>
      </c>
      <c r="I19" s="19">
        <f>G19+H19-C19-E19</f>
        <v>0</v>
      </c>
      <c r="J19" s="19">
        <f>C19-G19</f>
        <v>-1424</v>
      </c>
      <c r="K19" s="19"/>
    </row>
    <row r="20" ht="20.05" customHeight="1">
      <c r="B20" s="31">
        <v>2022</v>
      </c>
      <c r="C20" s="18">
        <v>733</v>
      </c>
      <c r="D20" s="19">
        <v>5406</v>
      </c>
      <c r="E20" s="19">
        <f>D20-C20</f>
        <v>4673</v>
      </c>
      <c r="F20" s="19">
        <f>1077+990</f>
        <v>2067</v>
      </c>
      <c r="G20" s="19">
        <v>2006</v>
      </c>
      <c r="H20" s="19">
        <v>3400</v>
      </c>
      <c r="I20" s="19">
        <f>G20+H20-C20-E20</f>
        <v>0</v>
      </c>
      <c r="J20" s="19">
        <f>C20-G20</f>
        <v>-1273</v>
      </c>
      <c r="K20" s="19">
        <v>-539.563716091780</v>
      </c>
    </row>
    <row r="21" ht="20.05" customHeight="1">
      <c r="B21" s="30"/>
      <c r="C21" s="18"/>
      <c r="D21" s="19"/>
      <c r="E21" s="19"/>
      <c r="F21" s="19"/>
      <c r="G21" s="19"/>
      <c r="H21" s="19"/>
      <c r="I21" s="19"/>
      <c r="J21" s="19"/>
      <c r="K21" s="19">
        <f>'Model'!F32</f>
        <v>-458.169066217280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6" customWidth="1"/>
    <col min="2" max="5" width="9.86719" style="36" customWidth="1"/>
    <col min="6" max="16384" width="16.3516" style="36" customWidth="1"/>
  </cols>
  <sheetData>
    <row r="1" ht="40" customHeight="1"/>
    <row r="2" ht="27.65" customHeight="1">
      <c r="B2" t="s" s="2">
        <v>56</v>
      </c>
      <c r="C2" s="2"/>
      <c r="D2" s="2"/>
      <c r="E2" s="2"/>
    </row>
    <row r="3" ht="20.25" customHeight="1">
      <c r="B3" s="4"/>
      <c r="C3" t="s" s="3">
        <v>57</v>
      </c>
      <c r="D3" t="s" s="3">
        <v>39</v>
      </c>
      <c r="E3" t="s" s="3">
        <v>58</v>
      </c>
    </row>
    <row r="4" ht="20.25" customHeight="1">
      <c r="B4" s="27">
        <v>2018</v>
      </c>
      <c r="C4" s="33"/>
      <c r="D4" s="34"/>
      <c r="E4" s="34"/>
    </row>
    <row r="5" ht="20.05" customHeight="1">
      <c r="B5" s="30"/>
      <c r="C5" s="18"/>
      <c r="D5" s="19"/>
      <c r="E5" s="19"/>
    </row>
    <row r="6" ht="20.05" customHeight="1">
      <c r="B6" s="30"/>
      <c r="C6" s="18">
        <v>3500</v>
      </c>
      <c r="D6" s="19"/>
      <c r="E6" s="19"/>
    </row>
    <row r="7" ht="20.05" customHeight="1">
      <c r="B7" s="30"/>
      <c r="C7" s="18">
        <v>3700</v>
      </c>
      <c r="D7" s="19"/>
      <c r="E7" s="19"/>
    </row>
    <row r="8" ht="20.05" customHeight="1">
      <c r="B8" s="31">
        <v>2019</v>
      </c>
      <c r="C8" s="18">
        <v>8000</v>
      </c>
      <c r="D8" s="19"/>
      <c r="E8" s="19"/>
    </row>
    <row r="9" ht="20.05" customHeight="1">
      <c r="B9" s="30"/>
      <c r="C9" s="18">
        <v>5800</v>
      </c>
      <c r="D9" s="19"/>
      <c r="E9" s="19"/>
    </row>
    <row r="10" ht="20.05" customHeight="1">
      <c r="B10" s="30"/>
      <c r="C10" s="18">
        <v>5200</v>
      </c>
      <c r="D10" s="24"/>
      <c r="E10" s="24"/>
    </row>
    <row r="11" ht="20.05" customHeight="1">
      <c r="B11" s="30"/>
      <c r="C11" s="18">
        <v>5300</v>
      </c>
      <c r="D11" s="24"/>
      <c r="E11" s="24"/>
    </row>
    <row r="12" ht="20.05" customHeight="1">
      <c r="B12" s="31">
        <v>2020</v>
      </c>
      <c r="C12" s="18">
        <v>2110</v>
      </c>
      <c r="D12" s="24"/>
      <c r="E12" s="24"/>
    </row>
    <row r="13" ht="20.05" customHeight="1">
      <c r="B13" s="30"/>
      <c r="C13" s="18">
        <v>2530</v>
      </c>
      <c r="D13" s="24"/>
      <c r="E13" s="24"/>
    </row>
    <row r="14" ht="20.05" customHeight="1">
      <c r="B14" s="30"/>
      <c r="C14" s="18">
        <v>1990</v>
      </c>
      <c r="D14" s="24"/>
      <c r="E14" s="24"/>
    </row>
    <row r="15" ht="20.05" customHeight="1">
      <c r="B15" s="30"/>
      <c r="C15" s="18">
        <v>2430</v>
      </c>
      <c r="D15" s="24"/>
      <c r="E15" s="24"/>
    </row>
    <row r="16" ht="20.05" customHeight="1">
      <c r="B16" s="31">
        <v>2021</v>
      </c>
      <c r="C16" s="18">
        <v>2150</v>
      </c>
      <c r="D16" s="24"/>
      <c r="E16" s="24"/>
    </row>
    <row r="17" ht="20.05" customHeight="1">
      <c r="B17" s="30"/>
      <c r="C17" s="18">
        <v>1850</v>
      </c>
      <c r="D17" s="24"/>
      <c r="E17" s="24"/>
    </row>
    <row r="18" ht="20.05" customHeight="1">
      <c r="B18" s="30"/>
      <c r="C18" s="18">
        <v>2570</v>
      </c>
      <c r="D18" s="24"/>
      <c r="E18" s="24"/>
    </row>
    <row r="19" ht="20.05" customHeight="1">
      <c r="B19" s="30"/>
      <c r="C19" s="18">
        <v>2540</v>
      </c>
      <c r="D19" s="24"/>
      <c r="E19" s="24"/>
    </row>
    <row r="20" ht="20.05" customHeight="1">
      <c r="B20" s="31">
        <v>2022</v>
      </c>
      <c r="C20" s="18">
        <v>2590</v>
      </c>
      <c r="D20" s="19">
        <v>2391.706609243260</v>
      </c>
      <c r="E20" s="24"/>
    </row>
    <row r="21" ht="20.05" customHeight="1">
      <c r="B21" s="30"/>
      <c r="C21" s="18">
        <v>2980</v>
      </c>
      <c r="D21" s="19">
        <v>5076.333560422470</v>
      </c>
      <c r="E21" s="24"/>
    </row>
    <row r="22" ht="20.05" customHeight="1">
      <c r="B22" s="30"/>
      <c r="C22" s="18"/>
      <c r="D22" s="19">
        <f>'Model'!F45</f>
        <v>4204.409877572760</v>
      </c>
      <c r="E22" s="24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