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<sst xmlns="http://schemas.openxmlformats.org/spreadsheetml/2006/main" uniqueCount="57">
  <si>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</si>
  <si>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</si>
  <si>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</si>
  <si>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</si>
  <si>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</si>
  <si>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</si>
  <si>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</si>
  <si>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</si>
  <si>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</si>
  <si>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</si>
  <si>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</si>
  <si>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</si>
  <si>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</si>
  <si>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</si>
  <si>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</si>
  <si>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</si>
  <si>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</si>
  <si>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</si>
  <si>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</si>
  <si>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</si>
  <si>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</si>
  <si>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</si>
  <si>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</si>
  <si>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</si>
  <si>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</si>
  <si>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</si>
  <si>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</si>
  <si>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</si>
  <si>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</si>
  <si>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</si>
  <si>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</si>
  <si>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</si>
  <si>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</si>
  <si>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</si>
  <si>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>Payback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</si>
  <si>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</si>
  <si>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</si>
  <si>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</si>
  <si>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</si>
  <si>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</si>
  <si>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</si>
  <si>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</si>
  <si>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forecasts </t>
  </si>
  <si>
    <t>Non cash costs</t>
  </si>
  <si>
    <t>Biological</t>
  </si>
  <si>
    <t>Profit</t>
  </si>
  <si>
    <t xml:space="preserve">Sales growth </t>
  </si>
  <si>
    <t>Receipts</t>
  </si>
  <si>
    <t>Lease</t>
  </si>
  <si>
    <t xml:space="preserve">Free cashflow </t>
  </si>
  <si>
    <t>Cash</t>
  </si>
  <si>
    <t>Assets</t>
  </si>
  <si>
    <t>Equity + Temporary syirkah funds</t>
  </si>
  <si>
    <t>Check</t>
  </si>
  <si>
    <t>Share price</t>
  </si>
  <si>
    <t>MAIN</t>
  </si>
  <si>
    <t>Previous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</si>
</sst>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591972</xdr:colOff>
      <xdr:row>1</xdr:row>
      <xdr:rowOff>296084</xdr:rowOff>
    </xdr:from>
    <xdr:to>
      <xdr:col>13</xdr:col>
      <xdr:colOff>685380</xdr:colOff>
      <xdr:row>49</xdr:row>
      <xdr:rowOff>125063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94072" y="448484"/>
          <a:ext cx="8805609" cy="121530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3125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AVERAGE('Sales'!H25:H28)</f>
        <v>0.07068492106981129</v>
      </c>
      <c r="D4" s="8"/>
      <c r="E4" s="8"/>
      <c r="F4" s="9">
        <f>AVERAGE(C5:F5)</f>
        <v>0.035</v>
      </c>
    </row>
    <row r="5" ht="20.05" customHeight="1">
      <c r="B5" t="s" s="10">
        <v>4</v>
      </c>
      <c r="C5" s="11">
        <v>0.05</v>
      </c>
      <c r="D5" s="12">
        <v>0.06</v>
      </c>
      <c r="E5" s="12">
        <v>0.05</v>
      </c>
      <c r="F5" s="12">
        <v>-0.02</v>
      </c>
    </row>
    <row r="6" ht="20.05" customHeight="1">
      <c r="B6" t="s" s="10">
        <v>5</v>
      </c>
      <c r="C6" s="13">
        <f>'Sales'!C28*(1+C5)</f>
        <v>2891.7</v>
      </c>
      <c r="D6" s="14">
        <f>C6*(1+D5)</f>
        <v>3065.202</v>
      </c>
      <c r="E6" s="14">
        <f>D6*(1+E5)</f>
        <v>3218.4621</v>
      </c>
      <c r="F6" s="14">
        <f>E6*(1+F5)</f>
        <v>3154.092858</v>
      </c>
    </row>
    <row r="7" ht="20.05" customHeight="1">
      <c r="B7" t="s" s="10">
        <v>6</v>
      </c>
      <c r="C7" s="11">
        <f>AVERAGE('Sales'!I28)</f>
        <v>-0.968046477850399</v>
      </c>
      <c r="D7" s="12">
        <f>C7</f>
        <v>-0.968046477850399</v>
      </c>
      <c r="E7" s="12">
        <f>D7</f>
        <v>-0.968046477850399</v>
      </c>
      <c r="F7" s="12">
        <f>E7</f>
        <v>-0.968046477850399</v>
      </c>
    </row>
    <row r="8" ht="20.05" customHeight="1">
      <c r="B8" t="s" s="10">
        <v>7</v>
      </c>
      <c r="C8" s="15">
        <f>C6*C7</f>
        <v>-2799.3</v>
      </c>
      <c r="D8" s="16">
        <f>D6*D7</f>
        <v>-2967.258</v>
      </c>
      <c r="E8" s="16">
        <f>E6*E7</f>
        <v>-3115.6209</v>
      </c>
      <c r="F8" s="16">
        <f>F6*F7</f>
        <v>-3053.308482</v>
      </c>
    </row>
    <row r="9" ht="20.05" customHeight="1">
      <c r="B9" t="s" s="10">
        <v>8</v>
      </c>
      <c r="C9" s="15">
        <f>C6+C8</f>
        <v>92.40000000000001</v>
      </c>
      <c r="D9" s="16">
        <f>D6+D8</f>
        <v>97.944</v>
      </c>
      <c r="E9" s="16">
        <f>E6+E8</f>
        <v>102.8412</v>
      </c>
      <c r="F9" s="16">
        <f>F6+F8</f>
        <v>100.784376</v>
      </c>
    </row>
    <row r="10" ht="20.05" customHeight="1">
      <c r="B10" t="s" s="10">
        <v>9</v>
      </c>
      <c r="C10" s="15">
        <f>AVERAGE('Cashflow '!E28)</f>
        <v>-58</v>
      </c>
      <c r="D10" s="16">
        <f>C10</f>
        <v>-58</v>
      </c>
      <c r="E10" s="16">
        <f>D10</f>
        <v>-58</v>
      </c>
      <c r="F10" s="16">
        <f>E10</f>
        <v>-58</v>
      </c>
    </row>
    <row r="11" ht="20.05" customHeight="1">
      <c r="B11" t="s" s="10">
        <v>10</v>
      </c>
      <c r="C11" s="15">
        <f>'Cashflow '!F28</f>
        <v>-1.2</v>
      </c>
      <c r="D11" s="16">
        <f>C11</f>
        <v>-1.2</v>
      </c>
      <c r="E11" s="16">
        <f>D11</f>
        <v>-1.2</v>
      </c>
      <c r="F11" s="16">
        <f>E11</f>
        <v>-1.2</v>
      </c>
    </row>
    <row r="12" ht="20.05" customHeight="1">
      <c r="B12" t="s" s="10">
        <v>11</v>
      </c>
      <c r="C12" s="15">
        <f>C13+C16+C14</f>
        <v>-34.4</v>
      </c>
      <c r="D12" s="16">
        <f>D13+D16+D14</f>
        <v>-39.944</v>
      </c>
      <c r="E12" s="16">
        <f>E13+E16+E14</f>
        <v>-44.8412</v>
      </c>
      <c r="F12" s="16">
        <f>F13+F16+F14</f>
        <v>-42.784376</v>
      </c>
    </row>
    <row r="13" ht="20.05" customHeight="1">
      <c r="B13" t="s" s="10">
        <v>12</v>
      </c>
      <c r="C13" s="15">
        <f>-'Balance sheet'!H28/20</f>
        <v>-150.35</v>
      </c>
      <c r="D13" s="16">
        <f>-C28/20</f>
        <v>-142.8325</v>
      </c>
      <c r="E13" s="16">
        <f>-D28/20</f>
        <v>-135.690875</v>
      </c>
      <c r="F13" s="16">
        <f>-E28/20</f>
        <v>-128.90633125</v>
      </c>
    </row>
    <row r="14" ht="20.05" customHeight="1">
      <c r="B14" t="s" s="10">
        <v>13</v>
      </c>
      <c r="C14" s="15">
        <f>-MIN(0,C17)</f>
        <v>115.95</v>
      </c>
      <c r="D14" s="16">
        <f>-MIN(C29,D17)</f>
        <v>102.8885</v>
      </c>
      <c r="E14" s="16">
        <f>-MIN(D29,E17)</f>
        <v>90.849675</v>
      </c>
      <c r="F14" s="16">
        <f>-MIN(E29,F17)</f>
        <v>86.12195525</v>
      </c>
    </row>
    <row r="15" ht="20.05" customHeight="1">
      <c r="B15" t="s" s="10">
        <v>14</v>
      </c>
      <c r="C15" s="17">
        <v>0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0</v>
      </c>
      <c r="D16" s="16">
        <f>IF(D23&gt;0,-D23*$C$15,0)</f>
        <v>0</v>
      </c>
      <c r="E16" s="16">
        <f>IF(E23&gt;0,-E23*$C$15,0)</f>
        <v>0</v>
      </c>
      <c r="F16" s="16">
        <f>IF(F23&gt;0,-F23*$C$15,0)</f>
        <v>0</v>
      </c>
    </row>
    <row r="17" ht="20.05" customHeight="1">
      <c r="B17" t="s" s="10">
        <v>16</v>
      </c>
      <c r="C17" s="15">
        <f>C9+C10+C13+C16</f>
        <v>-115.95</v>
      </c>
      <c r="D17" s="16">
        <f>D9+D10+D13+D16</f>
        <v>-102.8885</v>
      </c>
      <c r="E17" s="16">
        <f>E9+E10+E13+E16</f>
        <v>-90.849675</v>
      </c>
      <c r="F17" s="16">
        <f>F9+F10+F13+F16</f>
        <v>-86.12195525</v>
      </c>
    </row>
    <row r="18" ht="20.05" customHeight="1">
      <c r="B18" t="s" s="10">
        <v>17</v>
      </c>
      <c r="C18" s="15">
        <f>'Balance sheet'!C28</f>
        <v>122</v>
      </c>
      <c r="D18" s="16">
        <f>C20</f>
        <v>122</v>
      </c>
      <c r="E18" s="16">
        <f>D20</f>
        <v>122</v>
      </c>
      <c r="F18" s="16">
        <f>E20</f>
        <v>122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0</v>
      </c>
    </row>
    <row r="20" ht="20.05" customHeight="1">
      <c r="B20" t="s" s="10">
        <v>19</v>
      </c>
      <c r="C20" s="15">
        <f>C18+C19</f>
        <v>122</v>
      </c>
      <c r="D20" s="16">
        <f>D18+D19</f>
        <v>122</v>
      </c>
      <c r="E20" s="16">
        <f>E18+E19</f>
        <v>122</v>
      </c>
      <c r="F20" s="16">
        <f>F18+F19</f>
        <v>122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-AVERAGE('Sales'!E28)</f>
        <v>-68</v>
      </c>
      <c r="D22" s="16">
        <f>C22</f>
        <v>-68</v>
      </c>
      <c r="E22" s="16">
        <f>D22</f>
        <v>-68</v>
      </c>
      <c r="F22" s="16">
        <f>E22</f>
        <v>-68</v>
      </c>
    </row>
    <row r="23" ht="20.05" customHeight="1">
      <c r="B23" t="s" s="10">
        <v>20</v>
      </c>
      <c r="C23" s="15">
        <f>C6+C8+C22</f>
        <v>24.4</v>
      </c>
      <c r="D23" s="16">
        <f>D6+D8+D22</f>
        <v>29.944</v>
      </c>
      <c r="E23" s="16">
        <f>E6+E8+E22</f>
        <v>34.8412</v>
      </c>
      <c r="F23" s="16">
        <f>F6+F8+F22</f>
        <v>32.784376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sheet'!F28-C10</f>
        <v>7557</v>
      </c>
      <c r="D25" s="16">
        <f>C25-D10</f>
        <v>7615</v>
      </c>
      <c r="E25" s="16">
        <f>D25-E10</f>
        <v>7673</v>
      </c>
      <c r="F25" s="16">
        <f>E25-F10</f>
        <v>7731</v>
      </c>
    </row>
    <row r="26" ht="20.05" customHeight="1">
      <c r="B26" t="s" s="10">
        <v>24</v>
      </c>
      <c r="C26" s="15">
        <f>'Balance sheet'!F28-C22</f>
        <v>2288</v>
      </c>
      <c r="D26" s="16">
        <f>C26-D22</f>
        <v>2356</v>
      </c>
      <c r="E26" s="16">
        <f>D26-E22</f>
        <v>2424</v>
      </c>
      <c r="F26" s="16">
        <f>E26-F22</f>
        <v>2492</v>
      </c>
    </row>
    <row r="27" ht="20.05" customHeight="1">
      <c r="B27" t="s" s="10">
        <v>25</v>
      </c>
      <c r="C27" s="15">
        <f>C25-C26</f>
        <v>5269</v>
      </c>
      <c r="D27" s="16">
        <f>D25-D26</f>
        <v>5259</v>
      </c>
      <c r="E27" s="16">
        <f>E25-E26</f>
        <v>5249</v>
      </c>
      <c r="F27" s="16">
        <f>F25-F26</f>
        <v>5239</v>
      </c>
    </row>
    <row r="28" ht="20.05" customHeight="1">
      <c r="B28" t="s" s="10">
        <v>12</v>
      </c>
      <c r="C28" s="15">
        <f>'Balance sheet'!H28+C13</f>
        <v>2856.65</v>
      </c>
      <c r="D28" s="16">
        <f>C28+D13</f>
        <v>2713.8175</v>
      </c>
      <c r="E28" s="16">
        <f>D28+E13</f>
        <v>2578.126625</v>
      </c>
      <c r="F28" s="16">
        <f>E28+F13</f>
        <v>2449.22029375</v>
      </c>
    </row>
    <row r="29" ht="20.05" customHeight="1">
      <c r="B29" t="s" s="10">
        <v>13</v>
      </c>
      <c r="C29" s="15">
        <f>C14</f>
        <v>115.95</v>
      </c>
      <c r="D29" s="16">
        <f>C29+D14</f>
        <v>218.8385</v>
      </c>
      <c r="E29" s="16">
        <f>D29+E14</f>
        <v>309.688175</v>
      </c>
      <c r="F29" s="16">
        <f>E29+F14</f>
        <v>395.81013025</v>
      </c>
    </row>
    <row r="30" ht="20.05" customHeight="1">
      <c r="B30" t="s" s="10">
        <v>15</v>
      </c>
      <c r="C30" s="15">
        <f>'Balance sheet'!I28+C23+C16</f>
        <v>2418.4</v>
      </c>
      <c r="D30" s="16">
        <f>C30+D23+D16</f>
        <v>2448.344</v>
      </c>
      <c r="E30" s="16">
        <f>D30+E23+E16</f>
        <v>2483.1852</v>
      </c>
      <c r="F30" s="16">
        <f>E30+F23+F16</f>
        <v>2515.969576</v>
      </c>
    </row>
    <row r="31" ht="20.05" customHeight="1">
      <c r="B31" t="s" s="10">
        <v>26</v>
      </c>
      <c r="C31" s="15">
        <f>C28+C29+C30-C20-C27</f>
        <v>0</v>
      </c>
      <c r="D31" s="16">
        <f>D28+D29+D30-D20-D27</f>
        <v>0</v>
      </c>
      <c r="E31" s="16">
        <f>E28+E29+E30-E20-E27</f>
        <v>0</v>
      </c>
      <c r="F31" s="16">
        <f>F28+F29+F30-F20-F27</f>
        <v>0</v>
      </c>
    </row>
    <row r="32" ht="20.05" customHeight="1">
      <c r="B32" t="s" s="10">
        <v>27</v>
      </c>
      <c r="C32" s="15">
        <f>C20-C28-C29</f>
        <v>-2850.6</v>
      </c>
      <c r="D32" s="16">
        <f>D20-D28-D29</f>
        <v>-2810.656</v>
      </c>
      <c r="E32" s="16">
        <f>E20-E28-E29</f>
        <v>-2765.8148</v>
      </c>
      <c r="F32" s="16">
        <f>F20-F28-F29</f>
        <v>-2723.030424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'!M28-C12</f>
        <v>-306.53</v>
      </c>
      <c r="D34" s="16">
        <f>C34-D12</f>
        <v>-266.586</v>
      </c>
      <c r="E34" s="16">
        <f>D34-E12</f>
        <v>-221.7448</v>
      </c>
      <c r="F34" s="16">
        <f>E34-F12</f>
        <v>-178.960424</v>
      </c>
    </row>
    <row r="35" ht="20.05" customHeight="1">
      <c r="B35" t="s" s="10">
        <v>30</v>
      </c>
      <c r="C35" s="15"/>
      <c r="D35" s="16"/>
      <c r="E35" s="16"/>
      <c r="F35" s="16">
        <v>1354443720960</v>
      </c>
    </row>
    <row r="36" ht="20.05" customHeight="1">
      <c r="B36" t="s" s="10">
        <v>30</v>
      </c>
      <c r="C36" s="15"/>
      <c r="D36" s="16"/>
      <c r="E36" s="16"/>
      <c r="F36" s="16">
        <f>F35/1000000000</f>
        <v>1354.44372096</v>
      </c>
    </row>
    <row r="37" ht="20.05" customHeight="1">
      <c r="B37" t="s" s="10">
        <v>31</v>
      </c>
      <c r="C37" s="15"/>
      <c r="D37" s="16"/>
      <c r="E37" s="16"/>
      <c r="F37" s="20">
        <f>F36/(F20+F27)</f>
        <v>0.252647588315613</v>
      </c>
    </row>
    <row r="38" ht="20.05" customHeight="1">
      <c r="B38" t="s" s="10">
        <v>32</v>
      </c>
      <c r="C38" s="15"/>
      <c r="D38" s="16"/>
      <c r="E38" s="16"/>
      <c r="F38" s="21">
        <f>-(C16+D16+E16+F16)/F36</f>
        <v>0</v>
      </c>
    </row>
    <row r="39" ht="20.05" customHeight="1">
      <c r="B39" t="s" s="10">
        <v>33</v>
      </c>
      <c r="C39" s="15"/>
      <c r="D39" s="16"/>
      <c r="E39" s="16"/>
      <c r="F39" s="16">
        <f>SUM(C9:F11)</f>
        <v>157.169576</v>
      </c>
    </row>
    <row r="40" ht="20.05" customHeight="1">
      <c r="B40" t="s" s="10">
        <v>34</v>
      </c>
      <c r="C40" s="15"/>
      <c r="D40" s="16"/>
      <c r="E40" s="16"/>
      <c r="F40" s="16">
        <f>'Balance sheet'!E28/F39</f>
        <v>33.5879254392084</v>
      </c>
    </row>
    <row r="41" ht="20.05" customHeight="1">
      <c r="B41" t="s" s="10">
        <v>28</v>
      </c>
      <c r="C41" s="15"/>
      <c r="D41" s="16"/>
      <c r="E41" s="16"/>
      <c r="F41" s="16">
        <f>F36/F39</f>
        <v>8.61772205175383</v>
      </c>
    </row>
    <row r="42" ht="20.05" customHeight="1">
      <c r="B42" t="s" s="10">
        <v>35</v>
      </c>
      <c r="C42" s="15"/>
      <c r="D42" s="16"/>
      <c r="E42" s="16"/>
      <c r="F42" s="16">
        <v>12</v>
      </c>
    </row>
    <row r="43" ht="20.05" customHeight="1">
      <c r="B43" t="s" s="10">
        <v>36</v>
      </c>
      <c r="C43" s="15"/>
      <c r="D43" s="16"/>
      <c r="E43" s="16"/>
      <c r="F43" s="16">
        <f>F39*F42</f>
        <v>1886.034912</v>
      </c>
    </row>
    <row r="44" ht="20.05" customHeight="1">
      <c r="B44" t="s" s="10">
        <v>37</v>
      </c>
      <c r="C44" s="15"/>
      <c r="D44" s="16"/>
      <c r="E44" s="16"/>
      <c r="F44" s="16">
        <f>F36/F46</f>
        <v>2.238749952</v>
      </c>
    </row>
    <row r="45" ht="20.05" customHeight="1">
      <c r="B45" t="s" s="10">
        <v>38</v>
      </c>
      <c r="C45" s="15"/>
      <c r="D45" s="16"/>
      <c r="E45" s="16"/>
      <c r="F45" s="16">
        <f>F43/F44</f>
        <v>842.450006672295</v>
      </c>
    </row>
    <row r="46" ht="20.05" customHeight="1">
      <c r="B46" t="s" s="10">
        <v>39</v>
      </c>
      <c r="C46" s="15"/>
      <c r="D46" s="16"/>
      <c r="E46" s="16"/>
      <c r="F46" s="16">
        <v>605</v>
      </c>
    </row>
    <row r="47" ht="20.05" customHeight="1">
      <c r="B47" t="s" s="10">
        <v>40</v>
      </c>
      <c r="C47" s="15"/>
      <c r="D47" s="16"/>
      <c r="E47" s="16"/>
      <c r="F47" s="21">
        <f>F45/F46-1</f>
        <v>0.392479349871562</v>
      </c>
    </row>
    <row r="48" ht="20.05" customHeight="1">
      <c r="B48" t="s" s="10">
        <v>41</v>
      </c>
      <c r="C48" s="15"/>
      <c r="D48" s="16"/>
      <c r="E48" s="16"/>
      <c r="F48" s="21">
        <f>'Sales'!C28/'Sales'!C24-1</f>
        <v>0.2833776038026</v>
      </c>
    </row>
    <row r="49" ht="20.05" customHeight="1">
      <c r="B49" t="s" s="10">
        <v>42</v>
      </c>
      <c r="C49" s="15"/>
      <c r="D49" s="16"/>
      <c r="E49" s="16"/>
      <c r="F49" s="21">
        <f>'Sales'!F31/'Sales'!E31-1</f>
        <v>-0.0613472056274507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9688" style="22" customWidth="1"/>
    <col min="2" max="11" width="10.9688" style="22" customWidth="1"/>
    <col min="12" max="16384" width="16.3516" style="22" customWidth="1"/>
  </cols>
  <sheetData>
    <row r="1" ht="34.8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44</v>
      </c>
      <c r="G3" t="s" s="5">
        <v>45</v>
      </c>
      <c r="H3" t="s" s="5">
        <v>46</v>
      </c>
      <c r="I3" t="s" s="5">
        <v>6</v>
      </c>
      <c r="J3" t="s" s="5">
        <v>6</v>
      </c>
      <c r="K3" t="s" s="5">
        <v>35</v>
      </c>
    </row>
    <row r="4" ht="20.25" customHeight="1">
      <c r="B4" s="23">
        <v>2016</v>
      </c>
      <c r="C4" s="24">
        <v>1300.3</v>
      </c>
      <c r="D4" s="25"/>
      <c r="E4" s="25">
        <v>44.3</v>
      </c>
      <c r="F4" s="25"/>
      <c r="G4" s="25">
        <v>52.3</v>
      </c>
      <c r="H4" s="9"/>
      <c r="I4" s="9">
        <f>(E4+G4-F4-C4)/C4</f>
        <v>-0.925709451665</v>
      </c>
      <c r="J4" s="9"/>
      <c r="K4" s="9"/>
    </row>
    <row r="5" ht="20.05" customHeight="1">
      <c r="B5" s="26"/>
      <c r="C5" s="15">
        <v>1449.5</v>
      </c>
      <c r="D5" s="16"/>
      <c r="E5" s="16">
        <v>52.2</v>
      </c>
      <c r="F5" s="16"/>
      <c r="G5" s="16">
        <v>115.6</v>
      </c>
      <c r="H5" s="12">
        <f>C5/C4-1</f>
        <v>0.114742751672691</v>
      </c>
      <c r="I5" s="12">
        <f>(E5+G5-F5-C5)/C5</f>
        <v>-0.884235943428769</v>
      </c>
      <c r="J5" s="12"/>
      <c r="K5" s="12"/>
    </row>
    <row r="6" ht="20.05" customHeight="1">
      <c r="B6" s="26"/>
      <c r="C6" s="15">
        <v>1210.4</v>
      </c>
      <c r="D6" s="16"/>
      <c r="E6" s="16">
        <v>50.4</v>
      </c>
      <c r="F6" s="16"/>
      <c r="G6" s="16">
        <v>65.59999999999999</v>
      </c>
      <c r="H6" s="12">
        <f>C6/C5-1</f>
        <v>-0.164953432218006</v>
      </c>
      <c r="I6" s="12">
        <f>(E6+G6-F6-C6)/C6</f>
        <v>-0.904163912756114</v>
      </c>
      <c r="J6" s="12"/>
      <c r="K6" s="12"/>
    </row>
    <row r="7" ht="20.05" customHeight="1">
      <c r="B7" s="26"/>
      <c r="C7" s="15">
        <v>1277.5</v>
      </c>
      <c r="D7" s="16"/>
      <c r="E7" s="16">
        <v>52.5</v>
      </c>
      <c r="F7" s="16"/>
      <c r="G7" s="16">
        <v>-21.5</v>
      </c>
      <c r="H7" s="12">
        <f>C7/C6-1</f>
        <v>0.0554362194315929</v>
      </c>
      <c r="I7" s="12">
        <f>(E7+G7-F7-C7)/C7</f>
        <v>-0.97573385518591</v>
      </c>
      <c r="J7" s="12"/>
      <c r="K7" s="12"/>
    </row>
    <row r="8" ht="20.05" customHeight="1">
      <c r="B8" s="27">
        <v>2017</v>
      </c>
      <c r="C8" s="15">
        <v>1265.6</v>
      </c>
      <c r="D8" s="16"/>
      <c r="E8" s="16">
        <v>53.3</v>
      </c>
      <c r="F8" s="16"/>
      <c r="G8" s="16">
        <v>24.8</v>
      </c>
      <c r="H8" s="12">
        <f>C8/C7-1</f>
        <v>-0.009315068493150679</v>
      </c>
      <c r="I8" s="12">
        <f>(E8+G8-F8-C8)/C8</f>
        <v>-0.938290139064475</v>
      </c>
      <c r="J8" s="12">
        <f>AVERAGE(I5:I8)</f>
        <v>-0.925605962608817</v>
      </c>
      <c r="K8" s="12"/>
    </row>
    <row r="9" ht="20.05" customHeight="1">
      <c r="B9" s="26"/>
      <c r="C9" s="15">
        <v>1435</v>
      </c>
      <c r="D9" s="16"/>
      <c r="E9" s="16">
        <v>54.8</v>
      </c>
      <c r="F9" s="16"/>
      <c r="G9" s="16">
        <v>2.2</v>
      </c>
      <c r="H9" s="12">
        <f>C9/C8-1</f>
        <v>0.133849557522124</v>
      </c>
      <c r="I9" s="12">
        <f>(E9+G9-F9-C9)/C9</f>
        <v>-0.960278745644599</v>
      </c>
      <c r="J9" s="12">
        <f>AVERAGE(I6:I9)</f>
        <v>-0.944616663162775</v>
      </c>
      <c r="K9" s="12"/>
    </row>
    <row r="10" ht="20.05" customHeight="1">
      <c r="B10" s="26"/>
      <c r="C10" s="15">
        <v>1346.7</v>
      </c>
      <c r="D10" s="16"/>
      <c r="E10" s="16">
        <v>55</v>
      </c>
      <c r="F10" s="16"/>
      <c r="G10" s="16">
        <v>-24.1</v>
      </c>
      <c r="H10" s="12">
        <f>C10/C9-1</f>
        <v>-0.0615331010452962</v>
      </c>
      <c r="I10" s="12">
        <f>(E10+G10-F10-C10)/C10</f>
        <v>-0.97705502339051</v>
      </c>
      <c r="J10" s="12">
        <f>AVERAGE(I7:I10)</f>
        <v>-0.962839440821374</v>
      </c>
      <c r="K10" s="12"/>
    </row>
    <row r="11" ht="20.05" customHeight="1">
      <c r="B11" s="26"/>
      <c r="C11" s="15">
        <v>1394.1</v>
      </c>
      <c r="D11" s="16"/>
      <c r="E11" s="16">
        <v>55.6</v>
      </c>
      <c r="F11" s="16"/>
      <c r="G11" s="16">
        <v>40</v>
      </c>
      <c r="H11" s="12">
        <f>C11/C10-1</f>
        <v>0.0351971485854311</v>
      </c>
      <c r="I11" s="12">
        <f>(E11+G11-F11-C11)/C11</f>
        <v>-0.931425292303278</v>
      </c>
      <c r="J11" s="12">
        <f>AVERAGE(I8:I11)</f>
        <v>-0.9517623001007161</v>
      </c>
      <c r="K11" s="12"/>
    </row>
    <row r="12" ht="20.05" customHeight="1">
      <c r="B12" s="27">
        <v>2018</v>
      </c>
      <c r="C12" s="15">
        <v>1473.8</v>
      </c>
      <c r="D12" s="16"/>
      <c r="E12" s="16">
        <v>57.5</v>
      </c>
      <c r="F12" s="16">
        <v>3.7</v>
      </c>
      <c r="G12" s="16">
        <v>67</v>
      </c>
      <c r="H12" s="12">
        <f>C12/C11-1</f>
        <v>0.0571695000358654</v>
      </c>
      <c r="I12" s="12">
        <f>(E12+G12-F12-C12)/C12</f>
        <v>-0.918035011534808</v>
      </c>
      <c r="J12" s="12">
        <f>AVERAGE(I9:I12)</f>
        <v>-0.946698518218299</v>
      </c>
      <c r="K12" s="12"/>
    </row>
    <row r="13" ht="20.05" customHeight="1">
      <c r="B13" s="26"/>
      <c r="C13" s="15">
        <v>1598.8</v>
      </c>
      <c r="D13" s="16"/>
      <c r="E13" s="16">
        <v>59.2</v>
      </c>
      <c r="F13" s="16">
        <f>40.8-F12</f>
        <v>37.1</v>
      </c>
      <c r="G13" s="16">
        <v>88.26000000000001</v>
      </c>
      <c r="H13" s="12">
        <f>C13/C12-1</f>
        <v>0.08481476455421361</v>
      </c>
      <c r="I13" s="12">
        <f>(E13+G13-F13-C13)/C13</f>
        <v>-0.930973229922442</v>
      </c>
      <c r="J13" s="12">
        <f>AVERAGE(I10:I13)</f>
        <v>-0.93937213928776</v>
      </c>
      <c r="K13" s="12"/>
    </row>
    <row r="14" ht="20.05" customHeight="1">
      <c r="B14" s="26"/>
      <c r="C14" s="15">
        <v>1765.9</v>
      </c>
      <c r="D14" s="16"/>
      <c r="E14" s="16">
        <v>59.1</v>
      </c>
      <c r="F14" s="16">
        <f>72.9-F13-F12</f>
        <v>32.1</v>
      </c>
      <c r="G14" s="16">
        <v>67.44</v>
      </c>
      <c r="H14" s="12">
        <f>C14/C13-1</f>
        <v>0.104515886915186</v>
      </c>
      <c r="I14" s="12">
        <f>(E14+G14-F14-C14)/C14</f>
        <v>-0.946520188006116</v>
      </c>
      <c r="J14" s="12">
        <f>AVERAGE(I11:I14)</f>
        <v>-0.931738430441661</v>
      </c>
      <c r="K14" s="12"/>
    </row>
    <row r="15" ht="20.05" customHeight="1">
      <c r="B15" s="26"/>
      <c r="C15" s="15">
        <v>1867.3</v>
      </c>
      <c r="D15" s="16"/>
      <c r="E15" s="16">
        <v>63.6</v>
      </c>
      <c r="F15" s="16">
        <f>117.2-F14-F13-F12</f>
        <v>44.3</v>
      </c>
      <c r="G15" s="16">
        <v>61.54</v>
      </c>
      <c r="H15" s="12">
        <f>C15/C14-1</f>
        <v>0.0574211450251996</v>
      </c>
      <c r="I15" s="12">
        <f>(E15+G15-F15-C15)/C15</f>
        <v>-0.9567075456541529</v>
      </c>
      <c r="J15" s="12">
        <f>AVERAGE(I12:I15)</f>
        <v>-0.93805899377938</v>
      </c>
      <c r="K15" s="12"/>
    </row>
    <row r="16" ht="20.05" customHeight="1">
      <c r="B16" s="27">
        <v>2019</v>
      </c>
      <c r="C16" s="15">
        <v>1944.8</v>
      </c>
      <c r="D16" s="16"/>
      <c r="E16" s="16">
        <v>60.1</v>
      </c>
      <c r="F16" s="16">
        <v>31.5</v>
      </c>
      <c r="G16" s="16">
        <v>91.3</v>
      </c>
      <c r="H16" s="12">
        <f>C16/C15-1</f>
        <v>0.0415037755047395</v>
      </c>
      <c r="I16" s="12">
        <f>(E16+G16-F16-C16)/C16</f>
        <v>-0.938348416289593</v>
      </c>
      <c r="J16" s="12">
        <f>AVERAGE(I13:I16)</f>
        <v>-0.943137344968076</v>
      </c>
      <c r="K16" s="12"/>
    </row>
    <row r="17" ht="20.05" customHeight="1">
      <c r="B17" s="26"/>
      <c r="C17" s="15">
        <v>1927.36</v>
      </c>
      <c r="D17" s="16"/>
      <c r="E17" s="16">
        <v>59.9</v>
      </c>
      <c r="F17" s="16">
        <f>49.4-F16</f>
        <v>17.9</v>
      </c>
      <c r="G17" s="16">
        <v>54.6</v>
      </c>
      <c r="H17" s="12">
        <f>C17/C16-1</f>
        <v>-0.00896750308515014</v>
      </c>
      <c r="I17" s="12">
        <f>(E17+G17-F17-C17)/C17</f>
        <v>-0.949879628092313</v>
      </c>
      <c r="J17" s="12">
        <f>AVERAGE(I14:I17)</f>
        <v>-0.947863944510544</v>
      </c>
      <c r="K17" s="12"/>
    </row>
    <row r="18" ht="20.05" customHeight="1">
      <c r="B18" s="26"/>
      <c r="C18" s="15">
        <v>1797.34</v>
      </c>
      <c r="D18" s="16"/>
      <c r="E18" s="16">
        <v>58.8</v>
      </c>
      <c r="F18" s="16">
        <f>65.9-F17-F16</f>
        <v>16.5</v>
      </c>
      <c r="G18" s="16">
        <v>49.5</v>
      </c>
      <c r="H18" s="12">
        <f>C18/C17-1</f>
        <v>-0.0674601527478001</v>
      </c>
      <c r="I18" s="12">
        <f>(E18+G18-F18-C18)/C18</f>
        <v>-0.948924521793317</v>
      </c>
      <c r="J18" s="12">
        <f>AVERAGE(I15:I18)</f>
        <v>-0.948465027957344</v>
      </c>
      <c r="K18" s="12"/>
    </row>
    <row r="19" ht="20.05" customHeight="1">
      <c r="B19" s="26"/>
      <c r="C19" s="15">
        <v>1785.4</v>
      </c>
      <c r="D19" s="16"/>
      <c r="E19" s="16">
        <v>85.5</v>
      </c>
      <c r="F19" s="16">
        <f>58.2-F18-F17-F16</f>
        <v>-7.7</v>
      </c>
      <c r="G19" s="16">
        <v>-43</v>
      </c>
      <c r="H19" s="12">
        <f>C19/C18-1</f>
        <v>-0.00664315043341827</v>
      </c>
      <c r="I19" s="12">
        <f>(E19+G19-F19-C19)/C19</f>
        <v>-0.971883051417049</v>
      </c>
      <c r="J19" s="12">
        <f>AVERAGE(I16:I19)</f>
        <v>-0.952258904398068</v>
      </c>
      <c r="K19" s="12"/>
    </row>
    <row r="20" ht="20.05" customHeight="1">
      <c r="B20" s="27">
        <v>2020</v>
      </c>
      <c r="C20" s="15">
        <v>1692.6</v>
      </c>
      <c r="D20" s="16"/>
      <c r="E20" s="16">
        <v>63.5</v>
      </c>
      <c r="F20" s="16">
        <v>4.2</v>
      </c>
      <c r="G20" s="16">
        <v>14</v>
      </c>
      <c r="H20" s="12">
        <f>C20/C19-1</f>
        <v>-0.0519771479780441</v>
      </c>
      <c r="I20" s="12">
        <f>(E20+G20-F20-C20)/C20</f>
        <v>-0.9566938437906179</v>
      </c>
      <c r="J20" s="12">
        <f>AVERAGE(I17:I20)</f>
        <v>-0.956845261273324</v>
      </c>
      <c r="K20" s="12"/>
    </row>
    <row r="21" ht="20.05" customHeight="1">
      <c r="B21" s="26"/>
      <c r="C21" s="15">
        <v>1500.22</v>
      </c>
      <c r="D21" s="16"/>
      <c r="E21" s="16">
        <v>65.8</v>
      </c>
      <c r="F21" s="16">
        <f>38.5-F20</f>
        <v>34.3</v>
      </c>
      <c r="G21" s="16">
        <v>-58.27</v>
      </c>
      <c r="H21" s="12">
        <f>C21/C20-1</f>
        <v>-0.113659458820749</v>
      </c>
      <c r="I21" s="12">
        <f>(E21+G21-F21-C21)/C21</f>
        <v>-1.0178440495394</v>
      </c>
      <c r="J21" s="12">
        <f>AVERAGE(I18:I21)</f>
        <v>-0.973836366635096</v>
      </c>
      <c r="K21" s="12"/>
    </row>
    <row r="22" ht="20.05" customHeight="1">
      <c r="B22" s="26"/>
      <c r="C22" s="15">
        <v>1816.58</v>
      </c>
      <c r="D22" s="16"/>
      <c r="E22" s="16">
        <v>66.8</v>
      </c>
      <c r="F22" s="16">
        <f>30.5-F21-F20</f>
        <v>-8</v>
      </c>
      <c r="G22" s="16">
        <v>-28.33</v>
      </c>
      <c r="H22" s="12">
        <f>C22/C21-1</f>
        <v>0.21087573822506</v>
      </c>
      <c r="I22" s="12">
        <f>(E22+G22-F22-C22)/C22</f>
        <v>-0.974418963106497</v>
      </c>
      <c r="J22" s="12">
        <f>AVERAGE(I19:I22)</f>
        <v>-0.980209976963391</v>
      </c>
      <c r="K22" s="12"/>
    </row>
    <row r="23" ht="20.05" customHeight="1">
      <c r="B23" s="26"/>
      <c r="C23" s="15">
        <v>1991.2</v>
      </c>
      <c r="D23" s="16"/>
      <c r="E23" s="16">
        <v>68.2</v>
      </c>
      <c r="F23" s="16">
        <f>-2.6-F22-F21-F20</f>
        <v>-33.1</v>
      </c>
      <c r="G23" s="16">
        <v>33.7</v>
      </c>
      <c r="H23" s="12">
        <f>C23/C22-1</f>
        <v>0.0961256867300091</v>
      </c>
      <c r="I23" s="12">
        <f>(E23+G23-F23-C23)/C23</f>
        <v>-0.932201687424669</v>
      </c>
      <c r="J23" s="12">
        <f>AVERAGE(I20:I23)</f>
        <v>-0.970289635965296</v>
      </c>
      <c r="K23" s="12"/>
    </row>
    <row r="24" ht="20.05" customHeight="1">
      <c r="B24" s="27">
        <v>2021</v>
      </c>
      <c r="C24" s="15">
        <v>2145.9</v>
      </c>
      <c r="D24" s="16">
        <v>1971.288</v>
      </c>
      <c r="E24" s="16">
        <f>66.5</f>
        <v>66.5</v>
      </c>
      <c r="F24" s="16">
        <v>27.3</v>
      </c>
      <c r="G24" s="16">
        <v>88.90000000000001</v>
      </c>
      <c r="H24" s="12">
        <f>C24/C23-1</f>
        <v>0.077691844114102</v>
      </c>
      <c r="I24" s="12">
        <f>(E24+G24-F24-C24)/C24</f>
        <v>-0.940304767230533</v>
      </c>
      <c r="J24" s="12">
        <f>AVERAGE(I21:I24)</f>
        <v>-0.966192366825275</v>
      </c>
      <c r="K24" s="12"/>
    </row>
    <row r="25" ht="20.05" customHeight="1">
      <c r="B25" s="26"/>
      <c r="C25" s="15">
        <f>4579.1-C24</f>
        <v>2433.2</v>
      </c>
      <c r="D25" s="16">
        <v>2253.195</v>
      </c>
      <c r="E25" s="16">
        <f>132.9-E24</f>
        <v>66.40000000000001</v>
      </c>
      <c r="F25" s="16">
        <f>51-F24</f>
        <v>23.7</v>
      </c>
      <c r="G25" s="16">
        <f>128.6-G24</f>
        <v>39.7</v>
      </c>
      <c r="H25" s="12">
        <f>C25/C24-1</f>
        <v>0.133883219162123</v>
      </c>
      <c r="I25" s="12">
        <f>(E25+G25-F25-C25)/C25</f>
        <v>-0.966135130692093</v>
      </c>
      <c r="J25" s="12">
        <f>AVERAGE(I22:I25)</f>
        <v>-0.953265137113448</v>
      </c>
      <c r="K25" s="12"/>
    </row>
    <row r="26" ht="20.05" customHeight="1">
      <c r="B26" s="26"/>
      <c r="C26" s="15">
        <f>6715-SUM(C24:C25)</f>
        <v>2135.9</v>
      </c>
      <c r="D26" s="14">
        <v>2360.204</v>
      </c>
      <c r="E26" s="16">
        <f>199.6-SUM(E24:E25)</f>
        <v>66.7</v>
      </c>
      <c r="F26" s="16">
        <f>83.9-F25-F24</f>
        <v>32.9</v>
      </c>
      <c r="G26" s="16">
        <f>18.7-SUM(G24:G25)</f>
        <v>-109.9</v>
      </c>
      <c r="H26" s="12">
        <f>C26/C25-1</f>
        <v>-0.122184777248068</v>
      </c>
      <c r="I26" s="12">
        <f>(E26+G26-F26-C26)/C26</f>
        <v>-1.03562900884873</v>
      </c>
      <c r="J26" s="12">
        <f>AVERAGE(I23:I26)</f>
        <v>-0.968567648549006</v>
      </c>
      <c r="K26" s="12"/>
    </row>
    <row r="27" ht="20.05" customHeight="1">
      <c r="B27" s="26"/>
      <c r="C27" s="15">
        <f>9130.6-SUM(C24:C26)</f>
        <v>2415.6</v>
      </c>
      <c r="D27" s="14">
        <v>2285.413</v>
      </c>
      <c r="E27" s="16">
        <f>267.1-SUM(E24:E26)</f>
        <v>67.5</v>
      </c>
      <c r="F27" s="16">
        <f>136.7-SUM(F24:F26)</f>
        <v>52.8</v>
      </c>
      <c r="G27" s="16">
        <f>60.4-SUM(G24:G26)</f>
        <v>41.7</v>
      </c>
      <c r="H27" s="12">
        <f>C27/C26-1</f>
        <v>0.130951823587247</v>
      </c>
      <c r="I27" s="12">
        <f>(E27+G27-F27-C27)/C27</f>
        <v>-0.976651763537009</v>
      </c>
      <c r="J27" s="12">
        <f>AVERAGE(I24:I27)</f>
        <v>-0.979680167577091</v>
      </c>
      <c r="K27" s="12"/>
    </row>
    <row r="28" ht="20.05" customHeight="1">
      <c r="B28" s="27">
        <v>2022</v>
      </c>
      <c r="C28" s="15">
        <v>2754</v>
      </c>
      <c r="D28" s="14">
        <v>2285.413</v>
      </c>
      <c r="E28" s="16">
        <v>68</v>
      </c>
      <c r="F28" s="16">
        <v>-9.5</v>
      </c>
      <c r="G28" s="16">
        <v>10.5</v>
      </c>
      <c r="H28" s="12">
        <f>C28/C27-1</f>
        <v>0.140089418777943</v>
      </c>
      <c r="I28" s="12">
        <f>(E28+G28-F28-C28)/C28</f>
        <v>-0.968046477850399</v>
      </c>
      <c r="J28" s="12">
        <f>AVERAGE(I25:I28)</f>
        <v>-0.986615595232058</v>
      </c>
      <c r="K28" s="12">
        <v>-0.966135130692093</v>
      </c>
    </row>
    <row r="29" ht="20.05" customHeight="1">
      <c r="B29" s="26"/>
      <c r="C29" s="15"/>
      <c r="D29" s="14">
        <f>'Model'!C6</f>
        <v>2891.7</v>
      </c>
      <c r="E29" s="16"/>
      <c r="F29" s="16"/>
      <c r="G29" s="16"/>
      <c r="H29" s="12"/>
      <c r="I29" s="19"/>
      <c r="J29" s="12"/>
      <c r="K29" s="12">
        <f>'Model'!C7</f>
        <v>-0.968046477850399</v>
      </c>
    </row>
    <row r="30" ht="20.05" customHeight="1">
      <c r="B30" s="26"/>
      <c r="C30" s="15"/>
      <c r="D30" s="16">
        <f>'Model'!D6</f>
        <v>3065.202</v>
      </c>
      <c r="E30" s="16"/>
      <c r="F30" s="16"/>
      <c r="G30" s="16"/>
      <c r="H30" s="12"/>
      <c r="I30" s="12"/>
      <c r="J30" s="12"/>
      <c r="K30" s="12"/>
    </row>
    <row r="31" ht="20.05" customHeight="1">
      <c r="B31" s="26"/>
      <c r="C31" s="15"/>
      <c r="D31" s="16">
        <f>'Model'!E6</f>
        <v>3218.4621</v>
      </c>
      <c r="E31" s="16">
        <f>SUM(C24:C28)</f>
        <v>11884.6</v>
      </c>
      <c r="F31" s="16">
        <f>SUM(D24:D28)</f>
        <v>11155.513</v>
      </c>
      <c r="G31" s="16"/>
      <c r="H31" s="12"/>
      <c r="I31" s="12"/>
      <c r="J31" s="12"/>
      <c r="K31" s="12"/>
    </row>
    <row r="32" ht="20.05" customHeight="1">
      <c r="B32" s="27">
        <v>2023</v>
      </c>
      <c r="C32" s="15"/>
      <c r="D32" s="16">
        <f>'Model'!F6</f>
        <v>3154.092858</v>
      </c>
      <c r="E32" s="16"/>
      <c r="F32" s="16"/>
      <c r="G32" s="16"/>
      <c r="H32" s="12"/>
      <c r="I32" s="12"/>
      <c r="J32" s="12"/>
      <c r="K32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2" width="10.1719" style="28" customWidth="1"/>
    <col min="3" max="15" width="11.0078" style="28" customWidth="1"/>
    <col min="16" max="16384" width="16.3516" style="28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48</v>
      </c>
      <c r="G3" t="s" s="5">
        <v>12</v>
      </c>
      <c r="H3" t="s" s="5">
        <v>15</v>
      </c>
      <c r="I3" t="s" s="5">
        <v>11</v>
      </c>
      <c r="J3" t="s" s="5">
        <v>49</v>
      </c>
      <c r="K3" t="s" s="5">
        <v>33</v>
      </c>
      <c r="L3" t="s" s="5">
        <v>35</v>
      </c>
      <c r="M3" t="s" s="5">
        <v>29</v>
      </c>
      <c r="N3" t="s" s="5">
        <v>35</v>
      </c>
      <c r="O3" s="29"/>
    </row>
    <row r="4" ht="21.4" customHeight="1">
      <c r="B4" s="23">
        <v>2016</v>
      </c>
      <c r="C4" s="24">
        <v>1268.8</v>
      </c>
      <c r="D4" s="25">
        <v>-52.5</v>
      </c>
      <c r="E4" s="25">
        <v>-70.5</v>
      </c>
      <c r="F4" s="25"/>
      <c r="G4" s="25"/>
      <c r="H4" s="25"/>
      <c r="I4" s="25">
        <v>-23.1</v>
      </c>
      <c r="J4" s="25">
        <f>D4+E4</f>
        <v>-123</v>
      </c>
      <c r="K4" s="30"/>
      <c r="L4" s="25"/>
      <c r="M4" s="25">
        <f>-(I4-F4)</f>
        <v>23.1</v>
      </c>
      <c r="N4" s="25"/>
      <c r="O4" s="25">
        <v>1</v>
      </c>
    </row>
    <row r="5" ht="21.2" customHeight="1">
      <c r="B5" s="26"/>
      <c r="C5" s="15">
        <v>1427.4</v>
      </c>
      <c r="D5" s="16">
        <v>131.6</v>
      </c>
      <c r="E5" s="16">
        <v>-80.09999999999999</v>
      </c>
      <c r="F5" s="16"/>
      <c r="G5" s="16"/>
      <c r="H5" s="16"/>
      <c r="I5" s="16">
        <v>-160.6</v>
      </c>
      <c r="J5" s="16">
        <f>D5+E5</f>
        <v>51.5</v>
      </c>
      <c r="K5" s="31"/>
      <c r="L5" s="16"/>
      <c r="M5" s="16">
        <f>-(I5-F5)+M4</f>
        <v>183.7</v>
      </c>
      <c r="N5" s="16"/>
      <c r="O5" s="16">
        <f>1+O4</f>
        <v>2</v>
      </c>
    </row>
    <row r="6" ht="21.2" customHeight="1">
      <c r="B6" s="26"/>
      <c r="C6" s="15">
        <v>1243.5</v>
      </c>
      <c r="D6" s="16">
        <v>76.59999999999999</v>
      </c>
      <c r="E6" s="16">
        <v>-77.59999999999999</v>
      </c>
      <c r="F6" s="16"/>
      <c r="G6" s="16"/>
      <c r="H6" s="16"/>
      <c r="I6" s="16">
        <v>-141.2</v>
      </c>
      <c r="J6" s="16">
        <f>D6+E6</f>
        <v>-1</v>
      </c>
      <c r="K6" s="31"/>
      <c r="L6" s="16"/>
      <c r="M6" s="16">
        <f>-(I6-F6)+M5</f>
        <v>324.9</v>
      </c>
      <c r="N6" s="16"/>
      <c r="O6" s="16">
        <f>1+O5</f>
        <v>3</v>
      </c>
    </row>
    <row r="7" ht="21.2" customHeight="1">
      <c r="B7" s="26"/>
      <c r="C7" s="15">
        <v>1300.2</v>
      </c>
      <c r="D7" s="16">
        <v>95.90000000000001</v>
      </c>
      <c r="E7" s="16">
        <v>-53.5</v>
      </c>
      <c r="F7" s="16"/>
      <c r="G7" s="16"/>
      <c r="H7" s="16"/>
      <c r="I7" s="16">
        <v>-124.7</v>
      </c>
      <c r="J7" s="16">
        <f>D7+E7</f>
        <v>42.4</v>
      </c>
      <c r="K7" s="31"/>
      <c r="L7" s="16"/>
      <c r="M7" s="16">
        <f>-(I7-F7)+M6</f>
        <v>449.6</v>
      </c>
      <c r="N7" s="16"/>
      <c r="O7" s="16">
        <f>1+O6</f>
        <v>4</v>
      </c>
    </row>
    <row r="8" ht="21.2" customHeight="1">
      <c r="B8" s="27">
        <v>2017</v>
      </c>
      <c r="C8" s="15">
        <v>1248.85</v>
      </c>
      <c r="D8" s="16">
        <v>49.79</v>
      </c>
      <c r="E8" s="16">
        <v>-78.90000000000001</v>
      </c>
      <c r="F8" s="16"/>
      <c r="G8" s="16"/>
      <c r="H8" s="16"/>
      <c r="I8" s="16">
        <v>76.09999999999999</v>
      </c>
      <c r="J8" s="16">
        <f>D8+E8</f>
        <v>-29.11</v>
      </c>
      <c r="K8" s="31">
        <f>AVERAGE(J5:J8)</f>
        <v>15.9475</v>
      </c>
      <c r="L8" s="16"/>
      <c r="M8" s="16">
        <f>-(I8-F8)+M7</f>
        <v>373.5</v>
      </c>
      <c r="N8" s="16"/>
      <c r="O8" s="16">
        <f>1+O7</f>
        <v>5</v>
      </c>
    </row>
    <row r="9" ht="21.2" customHeight="1">
      <c r="B9" s="26"/>
      <c r="C9" s="15">
        <v>1374.55</v>
      </c>
      <c r="D9" s="16">
        <v>120.81</v>
      </c>
      <c r="E9" s="16">
        <v>-79.5</v>
      </c>
      <c r="F9" s="16"/>
      <c r="G9" s="16"/>
      <c r="H9" s="16"/>
      <c r="I9" s="16">
        <v>-25.6</v>
      </c>
      <c r="J9" s="16">
        <f>D9+E9</f>
        <v>41.31</v>
      </c>
      <c r="K9" s="31">
        <f>AVERAGE(J6:J9)</f>
        <v>13.4</v>
      </c>
      <c r="L9" s="16"/>
      <c r="M9" s="16">
        <f>-(I9-F9)+M8</f>
        <v>399.1</v>
      </c>
      <c r="N9" s="16"/>
      <c r="O9" s="16">
        <f>1+O8</f>
        <v>6</v>
      </c>
    </row>
    <row r="10" ht="21.2" customHeight="1">
      <c r="B10" s="26"/>
      <c r="C10" s="15">
        <v>1447.4</v>
      </c>
      <c r="D10" s="16">
        <v>-69.59999999999999</v>
      </c>
      <c r="E10" s="16">
        <v>-92.7</v>
      </c>
      <c r="F10" s="16"/>
      <c r="G10" s="16"/>
      <c r="H10" s="16"/>
      <c r="I10" s="16">
        <v>158.2</v>
      </c>
      <c r="J10" s="16">
        <f>D10+E10</f>
        <v>-162.3</v>
      </c>
      <c r="K10" s="31">
        <f>AVERAGE(J7:J10)</f>
        <v>-26.925</v>
      </c>
      <c r="L10" s="16"/>
      <c r="M10" s="16">
        <f>-(I10-F10)+M9</f>
        <v>240.9</v>
      </c>
      <c r="N10" s="16"/>
      <c r="O10" s="16">
        <f>1+O9</f>
        <v>7</v>
      </c>
    </row>
    <row r="11" ht="21.2" customHeight="1">
      <c r="B11" s="26"/>
      <c r="C11" s="15">
        <v>1332</v>
      </c>
      <c r="D11" s="16">
        <v>164.9</v>
      </c>
      <c r="E11" s="16">
        <v>-84.40000000000001</v>
      </c>
      <c r="F11" s="16"/>
      <c r="G11" s="16"/>
      <c r="H11" s="16"/>
      <c r="I11" s="16">
        <v>-36.9</v>
      </c>
      <c r="J11" s="16">
        <f>D11+E11</f>
        <v>80.5</v>
      </c>
      <c r="K11" s="31">
        <f>AVERAGE(J8:J11)</f>
        <v>-17.4</v>
      </c>
      <c r="L11" s="16"/>
      <c r="M11" s="16">
        <f>-(I11-F11)+M10</f>
        <v>277.8</v>
      </c>
      <c r="N11" s="16"/>
      <c r="O11" s="16">
        <f>1+O10</f>
        <v>8</v>
      </c>
    </row>
    <row r="12" ht="21.2" customHeight="1">
      <c r="B12" s="27">
        <v>2018</v>
      </c>
      <c r="C12" s="15">
        <v>1474.4</v>
      </c>
      <c r="D12" s="16">
        <v>110.25</v>
      </c>
      <c r="E12" s="16">
        <v>-17</v>
      </c>
      <c r="F12" s="16"/>
      <c r="G12" s="16"/>
      <c r="H12" s="16"/>
      <c r="I12" s="16">
        <v>-122</v>
      </c>
      <c r="J12" s="16">
        <f>D12+E12</f>
        <v>93.25</v>
      </c>
      <c r="K12" s="31">
        <f>AVERAGE(J9:J12)</f>
        <v>13.19</v>
      </c>
      <c r="L12" s="16"/>
      <c r="M12" s="16">
        <f>-(I12-F12)+M11</f>
        <v>399.8</v>
      </c>
      <c r="N12" s="16"/>
      <c r="O12" s="16">
        <f>1+O11</f>
        <v>9</v>
      </c>
    </row>
    <row r="13" ht="21.2" customHeight="1">
      <c r="B13" s="26"/>
      <c r="C13" s="15">
        <v>1697.5</v>
      </c>
      <c r="D13" s="16">
        <v>173.25</v>
      </c>
      <c r="E13" s="16">
        <v>-151.29</v>
      </c>
      <c r="F13" s="16"/>
      <c r="G13" s="16"/>
      <c r="H13" s="16"/>
      <c r="I13" s="16">
        <v>58.5</v>
      </c>
      <c r="J13" s="16">
        <f>D13+E13</f>
        <v>21.96</v>
      </c>
      <c r="K13" s="31">
        <f>AVERAGE(J10:J13)</f>
        <v>8.352499999999999</v>
      </c>
      <c r="L13" s="16"/>
      <c r="M13" s="16">
        <f>-(I13-F13)+M12</f>
        <v>341.3</v>
      </c>
      <c r="N13" s="16"/>
      <c r="O13" s="16">
        <f>1+O12</f>
        <v>10</v>
      </c>
    </row>
    <row r="14" ht="21.2" customHeight="1">
      <c r="B14" s="26"/>
      <c r="C14" s="15">
        <v>1725.59</v>
      </c>
      <c r="D14" s="16">
        <v>73.5</v>
      </c>
      <c r="E14" s="16">
        <v>-75.17</v>
      </c>
      <c r="F14" s="16"/>
      <c r="G14" s="16"/>
      <c r="H14" s="16"/>
      <c r="I14" s="16">
        <v>66.12</v>
      </c>
      <c r="J14" s="16">
        <f>D14+E14</f>
        <v>-1.67</v>
      </c>
      <c r="K14" s="31">
        <f>AVERAGE(J11:J14)</f>
        <v>48.51</v>
      </c>
      <c r="L14" s="16"/>
      <c r="M14" s="16">
        <f>-(I14-F14)+M13</f>
        <v>275.18</v>
      </c>
      <c r="N14" s="16"/>
      <c r="O14" s="16">
        <f>1+O13</f>
        <v>11</v>
      </c>
    </row>
    <row r="15" ht="21.2" customHeight="1">
      <c r="B15" s="26"/>
      <c r="C15" s="15">
        <v>1863.91</v>
      </c>
      <c r="D15" s="16">
        <v>10.9</v>
      </c>
      <c r="E15" s="16">
        <v>-74.04000000000001</v>
      </c>
      <c r="F15" s="16"/>
      <c r="G15" s="16"/>
      <c r="H15" s="16"/>
      <c r="I15" s="16">
        <v>-17.32</v>
      </c>
      <c r="J15" s="16">
        <f>D15+E15</f>
        <v>-63.14</v>
      </c>
      <c r="K15" s="31">
        <f>AVERAGE(J12:J15)</f>
        <v>12.6</v>
      </c>
      <c r="L15" s="16"/>
      <c r="M15" s="16">
        <f>-(I15-F15)+M14</f>
        <v>292.5</v>
      </c>
      <c r="N15" s="16"/>
      <c r="O15" s="16">
        <f>1+O14</f>
        <v>12</v>
      </c>
    </row>
    <row r="16" ht="21.2" customHeight="1">
      <c r="B16" s="27">
        <v>2019</v>
      </c>
      <c r="C16" s="15">
        <v>1855.2</v>
      </c>
      <c r="D16" s="16">
        <v>207.8</v>
      </c>
      <c r="E16" s="16">
        <v>-74.2</v>
      </c>
      <c r="F16" s="16"/>
      <c r="G16" s="16"/>
      <c r="H16" s="16"/>
      <c r="I16" s="16">
        <v>-146.6</v>
      </c>
      <c r="J16" s="16">
        <f>D16+E16</f>
        <v>133.6</v>
      </c>
      <c r="K16" s="31">
        <f>AVERAGE(J13:J16)</f>
        <v>22.6875</v>
      </c>
      <c r="L16" s="16"/>
      <c r="M16" s="16">
        <f>-(I16-F16)+M15</f>
        <v>439.1</v>
      </c>
      <c r="N16" s="16"/>
      <c r="O16" s="16">
        <f>1+O15</f>
        <v>13</v>
      </c>
    </row>
    <row r="17" ht="21.2" customHeight="1">
      <c r="B17" s="26"/>
      <c r="C17" s="15">
        <v>1882.17</v>
      </c>
      <c r="D17" s="16">
        <v>-211.5</v>
      </c>
      <c r="E17" s="16">
        <v>-91.79000000000001</v>
      </c>
      <c r="F17" s="16"/>
      <c r="G17" s="16"/>
      <c r="H17" s="16"/>
      <c r="I17" s="16">
        <v>218.13</v>
      </c>
      <c r="J17" s="16">
        <f>D17+E17</f>
        <v>-303.29</v>
      </c>
      <c r="K17" s="31">
        <f>AVERAGE(J14:J17)</f>
        <v>-58.625</v>
      </c>
      <c r="L17" s="16"/>
      <c r="M17" s="16">
        <f>-(I17-F17)+M16</f>
        <v>220.97</v>
      </c>
      <c r="N17" s="16"/>
      <c r="O17" s="16">
        <f>1+O16</f>
        <v>14</v>
      </c>
    </row>
    <row r="18" ht="21.2" customHeight="1">
      <c r="B18" s="26"/>
      <c r="C18" s="15">
        <v>1775.73</v>
      </c>
      <c r="D18" s="16">
        <v>25.6</v>
      </c>
      <c r="E18" s="16">
        <v>-170.81</v>
      </c>
      <c r="F18" s="16"/>
      <c r="G18" s="16"/>
      <c r="H18" s="16"/>
      <c r="I18" s="16">
        <v>124.17</v>
      </c>
      <c r="J18" s="16">
        <f>D18+E18</f>
        <v>-145.21</v>
      </c>
      <c r="K18" s="31">
        <f>AVERAGE(J15:J18)</f>
        <v>-94.51000000000001</v>
      </c>
      <c r="L18" s="16"/>
      <c r="M18" s="16">
        <f>-(I18-F18)+M17</f>
        <v>96.8</v>
      </c>
      <c r="N18" s="16"/>
      <c r="O18" s="16">
        <f>1+O17</f>
        <v>15</v>
      </c>
    </row>
    <row r="19" ht="21.2" customHeight="1">
      <c r="B19" s="26"/>
      <c r="C19" s="15">
        <v>1837.29</v>
      </c>
      <c r="D19" s="16">
        <v>291</v>
      </c>
      <c r="E19" s="16">
        <v>-171.68</v>
      </c>
      <c r="F19" s="16"/>
      <c r="G19" s="16"/>
      <c r="H19" s="16"/>
      <c r="I19" s="16">
        <v>-26.47</v>
      </c>
      <c r="J19" s="16">
        <f>D19+E19</f>
        <v>119.32</v>
      </c>
      <c r="K19" s="31">
        <f>AVERAGE(J16:J19)</f>
        <v>-48.895</v>
      </c>
      <c r="L19" s="16"/>
      <c r="M19" s="16">
        <f>-(I19-F19)+M18</f>
        <v>123.27</v>
      </c>
      <c r="N19" s="16"/>
      <c r="O19" s="16">
        <f>1+O18</f>
        <v>16</v>
      </c>
    </row>
    <row r="20" ht="21.2" customHeight="1">
      <c r="B20" s="27">
        <v>2020</v>
      </c>
      <c r="C20" s="15">
        <v>1680</v>
      </c>
      <c r="D20" s="16">
        <v>65.59999999999999</v>
      </c>
      <c r="E20" s="16">
        <v>-112.8</v>
      </c>
      <c r="F20" s="16"/>
      <c r="G20" s="16"/>
      <c r="H20" s="16"/>
      <c r="I20" s="16">
        <v>72.59999999999999</v>
      </c>
      <c r="J20" s="16">
        <f>D20+E20</f>
        <v>-47.2</v>
      </c>
      <c r="K20" s="31">
        <f>AVERAGE(J17:J20)</f>
        <v>-94.095</v>
      </c>
      <c r="L20" s="16"/>
      <c r="M20" s="16">
        <f>-(I20-F20)+M19</f>
        <v>50.67</v>
      </c>
      <c r="N20" s="16"/>
      <c r="O20" s="16">
        <f>1+O19</f>
        <v>17</v>
      </c>
    </row>
    <row r="21" ht="21.2" customHeight="1">
      <c r="B21" s="26"/>
      <c r="C21" s="15">
        <v>1563.08</v>
      </c>
      <c r="D21" s="16">
        <v>-219.39</v>
      </c>
      <c r="E21" s="16">
        <v>-101.2</v>
      </c>
      <c r="F21" s="16"/>
      <c r="G21" s="16"/>
      <c r="H21" s="16"/>
      <c r="I21" s="16">
        <v>252.02</v>
      </c>
      <c r="J21" s="16">
        <f>D21+E21</f>
        <v>-320.59</v>
      </c>
      <c r="K21" s="31">
        <f>AVERAGE(J18:J21)</f>
        <v>-98.42</v>
      </c>
      <c r="L21" s="16"/>
      <c r="M21" s="16">
        <f>-(I21-F21)+M20</f>
        <v>-201.35</v>
      </c>
      <c r="N21" s="16"/>
      <c r="O21" s="16">
        <f>1+O20</f>
        <v>18</v>
      </c>
    </row>
    <row r="22" ht="21.2" customHeight="1">
      <c r="B22" s="26"/>
      <c r="C22" s="15">
        <v>1756.92</v>
      </c>
      <c r="D22" s="16">
        <v>83.89</v>
      </c>
      <c r="E22" s="16">
        <v>-49.7</v>
      </c>
      <c r="F22" s="16"/>
      <c r="G22" s="16"/>
      <c r="H22" s="16"/>
      <c r="I22" s="16">
        <v>-29.42</v>
      </c>
      <c r="J22" s="16">
        <f>D22+E22</f>
        <v>34.19</v>
      </c>
      <c r="K22" s="31">
        <f>AVERAGE(J19:J22)</f>
        <v>-53.57</v>
      </c>
      <c r="L22" s="16"/>
      <c r="M22" s="16">
        <f>-(I22-F22)+M21</f>
        <v>-171.93</v>
      </c>
      <c r="N22" s="16"/>
      <c r="O22" s="16">
        <f>1+O21</f>
        <v>19</v>
      </c>
    </row>
    <row r="23" ht="21.2" customHeight="1">
      <c r="B23" s="26"/>
      <c r="C23" s="15">
        <v>2019</v>
      </c>
      <c r="D23" s="16">
        <v>354.4</v>
      </c>
      <c r="E23" s="16">
        <v>-49.7</v>
      </c>
      <c r="F23" s="16"/>
      <c r="G23" s="16"/>
      <c r="H23" s="16"/>
      <c r="I23" s="16">
        <v>-221.1</v>
      </c>
      <c r="J23" s="16">
        <f>D23+E23</f>
        <v>304.7</v>
      </c>
      <c r="K23" s="31">
        <f>AVERAGE(J20:J23)</f>
        <v>-7.225</v>
      </c>
      <c r="L23" s="16"/>
      <c r="M23" s="16">
        <f>-(I23-F23)+M22</f>
        <v>49.17</v>
      </c>
      <c r="N23" s="16"/>
      <c r="O23" s="16">
        <f>1+O22</f>
        <v>20</v>
      </c>
    </row>
    <row r="24" ht="21.2" customHeight="1">
      <c r="B24" s="27">
        <v>2021</v>
      </c>
      <c r="C24" s="15">
        <v>2090.8</v>
      </c>
      <c r="D24" s="16">
        <v>3.2</v>
      </c>
      <c r="E24" s="16">
        <v>-35</v>
      </c>
      <c r="F24" s="16">
        <v>-1.6</v>
      </c>
      <c r="G24" s="16">
        <f>76.953-F24</f>
        <v>78.553</v>
      </c>
      <c r="H24" s="16"/>
      <c r="I24" s="16">
        <f>77</f>
        <v>77</v>
      </c>
      <c r="J24" s="16">
        <f>D24+E24+F24</f>
        <v>-33.4</v>
      </c>
      <c r="K24" s="31">
        <f>AVERAGE(J21:J24)</f>
        <v>-3.775</v>
      </c>
      <c r="L24" s="16"/>
      <c r="M24" s="16">
        <f>-(I24-F24)+M23</f>
        <v>-29.43</v>
      </c>
      <c r="N24" s="16"/>
      <c r="O24" s="16">
        <f>1+O23</f>
        <v>21</v>
      </c>
    </row>
    <row r="25" ht="21.2" customHeight="1">
      <c r="B25" s="26"/>
      <c r="C25" s="15">
        <f>4576.9-C24</f>
        <v>2486.1</v>
      </c>
      <c r="D25" s="16">
        <f>-7.8-D24</f>
        <v>-11</v>
      </c>
      <c r="E25" s="16">
        <f>-118.2-E24</f>
        <v>-83.2</v>
      </c>
      <c r="F25" s="16">
        <f>-2.6-F24</f>
        <v>-1</v>
      </c>
      <c r="G25" s="16">
        <f>36.564-F25-F24-G24</f>
        <v>-39.389</v>
      </c>
      <c r="H25" s="16"/>
      <c r="I25" s="16">
        <f>36.6-I24</f>
        <v>-40.4</v>
      </c>
      <c r="J25" s="16">
        <f>D25+E25+F25</f>
        <v>-95.2</v>
      </c>
      <c r="K25" s="31">
        <f>AVERAGE(J22:J25)</f>
        <v>52.5725</v>
      </c>
      <c r="L25" s="16"/>
      <c r="M25" s="16">
        <f>-(I25-F25)+M24</f>
        <v>9.970000000000001</v>
      </c>
      <c r="N25" s="16"/>
      <c r="O25" s="16">
        <f>1+O24</f>
        <v>22</v>
      </c>
    </row>
    <row r="26" ht="21.2" customHeight="1">
      <c r="B26" s="26"/>
      <c r="C26" s="15">
        <f>6665.9-SUM(C24:C25)</f>
        <v>2089</v>
      </c>
      <c r="D26" s="16">
        <f>-320.6-SUM(D24:D25)</f>
        <v>-312.8</v>
      </c>
      <c r="E26" s="16">
        <f>-224.5-SUM(E24:E25)</f>
        <v>-106.3</v>
      </c>
      <c r="F26" s="16">
        <f>-4.2-SUM(F24:F25)</f>
        <v>-1.6</v>
      </c>
      <c r="G26" s="16">
        <f>473.173-F26-F25-F24-G25-G24</f>
        <v>438.209</v>
      </c>
      <c r="H26" s="16"/>
      <c r="I26" s="16">
        <f>473.2-SUM(I24:I25)</f>
        <v>436.6</v>
      </c>
      <c r="J26" s="16">
        <f>D26+E26+F26</f>
        <v>-420.7</v>
      </c>
      <c r="K26" s="31">
        <f>AVERAGE(J23:J26)</f>
        <v>-61.15</v>
      </c>
      <c r="L26" s="16"/>
      <c r="M26" s="16">
        <f>-(I26-F26)+M25</f>
        <v>-428.23</v>
      </c>
      <c r="N26" s="16"/>
      <c r="O26" s="16">
        <f>1+O25</f>
        <v>23</v>
      </c>
    </row>
    <row r="27" ht="21.2" customHeight="1">
      <c r="B27" s="26"/>
      <c r="C27" s="15">
        <f>9023-SUM(C24:C26)</f>
        <v>2357.1</v>
      </c>
      <c r="D27" s="16">
        <f>-273.6-SUM(D24:D26)</f>
        <v>47</v>
      </c>
      <c r="E27" s="16">
        <f>-333-SUM(E24:E26)</f>
        <v>-108.5</v>
      </c>
      <c r="F27" s="16">
        <f>-3.7-SUM(F24:F26)</f>
        <v>0.5</v>
      </c>
      <c r="G27" s="16">
        <f>I27-H27-F27</f>
        <v>118.5</v>
      </c>
      <c r="H27" s="16">
        <v>0</v>
      </c>
      <c r="I27" s="16">
        <f>592.2-SUM(I24:I26)</f>
        <v>119</v>
      </c>
      <c r="J27" s="16">
        <f>D27+E27+F27</f>
        <v>-61</v>
      </c>
      <c r="K27" s="31">
        <f>AVERAGE(J24:J27)</f>
        <v>-152.575</v>
      </c>
      <c r="L27" s="16"/>
      <c r="M27" s="16">
        <f>-(I27-F27)+M26</f>
        <v>-546.73</v>
      </c>
      <c r="N27" s="16"/>
      <c r="O27" s="16">
        <f>1+O26</f>
        <v>24</v>
      </c>
    </row>
    <row r="28" ht="21.2" customHeight="1">
      <c r="B28" s="27">
        <v>2022</v>
      </c>
      <c r="C28" s="15">
        <v>2776.3</v>
      </c>
      <c r="D28" s="16">
        <v>205.9</v>
      </c>
      <c r="E28" s="16">
        <v>-58</v>
      </c>
      <c r="F28" s="16">
        <v>-1.2</v>
      </c>
      <c r="G28" s="16">
        <f>I28-H28-F28</f>
        <v>-205.8</v>
      </c>
      <c r="H28" s="16">
        <v>0</v>
      </c>
      <c r="I28" s="16">
        <v>-207</v>
      </c>
      <c r="J28" s="16">
        <f>D28+E28+F28</f>
        <v>146.7</v>
      </c>
      <c r="K28" s="31">
        <f>AVERAGE(J25:J28)</f>
        <v>-107.55</v>
      </c>
      <c r="L28" s="16">
        <v>30.083986097590</v>
      </c>
      <c r="M28" s="16">
        <f>-(I28-F28)+M27</f>
        <v>-340.93</v>
      </c>
      <c r="N28" s="16">
        <v>-331.677217453120</v>
      </c>
      <c r="O28" s="16">
        <f>1+O27</f>
        <v>25</v>
      </c>
    </row>
    <row r="29" ht="21.2" customHeight="1">
      <c r="B29" s="26"/>
      <c r="C29" s="15"/>
      <c r="D29" s="16"/>
      <c r="E29" s="16"/>
      <c r="F29" s="16"/>
      <c r="G29" s="16"/>
      <c r="H29" s="16"/>
      <c r="I29" s="16"/>
      <c r="J29" s="16"/>
      <c r="K29" s="19"/>
      <c r="L29" s="31">
        <f>SUM('Model'!F9:F11)</f>
        <v>41.584376</v>
      </c>
      <c r="M29" s="19"/>
      <c r="N29" s="16">
        <f>'Model'!F34</f>
        <v>-178.960424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2" customWidth="1"/>
    <col min="2" max="8" width="9.21875" style="32" customWidth="1"/>
    <col min="9" max="9" width="10.2656" style="32" customWidth="1"/>
    <col min="10" max="12" width="9.21875" style="32" customWidth="1"/>
    <col min="13" max="16384" width="16.3516" style="32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56.25" customHeight="1">
      <c r="B3" t="s" s="5">
        <v>1</v>
      </c>
      <c r="C3" t="s" s="5">
        <v>50</v>
      </c>
      <c r="D3" t="s" s="5">
        <v>51</v>
      </c>
      <c r="E3" t="s" s="5">
        <v>23</v>
      </c>
      <c r="F3" t="s" s="5">
        <v>24</v>
      </c>
      <c r="G3" t="s" s="5">
        <v>48</v>
      </c>
      <c r="H3" t="s" s="5">
        <v>12</v>
      </c>
      <c r="I3" t="s" s="5">
        <v>52</v>
      </c>
      <c r="J3" t="s" s="5">
        <v>53</v>
      </c>
      <c r="K3" t="s" s="5">
        <v>27</v>
      </c>
      <c r="L3" t="s" s="5">
        <v>35</v>
      </c>
    </row>
    <row r="4" ht="20.25" customHeight="1">
      <c r="B4" s="23">
        <v>2016</v>
      </c>
      <c r="C4" s="24">
        <v>357</v>
      </c>
      <c r="D4" s="25">
        <v>4060</v>
      </c>
      <c r="E4" s="25">
        <f>D4-C4</f>
        <v>3703</v>
      </c>
      <c r="F4" s="25">
        <v>824</v>
      </c>
      <c r="G4" s="25">
        <v>0</v>
      </c>
      <c r="H4" s="25">
        <v>2459</v>
      </c>
      <c r="I4" s="25">
        <v>1601</v>
      </c>
      <c r="J4" s="25">
        <f>H4+I4-C4-E4</f>
        <v>0</v>
      </c>
      <c r="K4" s="25">
        <f>C4-H4</f>
        <v>-2102</v>
      </c>
      <c r="L4" s="25"/>
    </row>
    <row r="5" ht="20.05" customHeight="1">
      <c r="B5" s="26"/>
      <c r="C5" s="15">
        <v>281</v>
      </c>
      <c r="D5" s="16">
        <v>3999</v>
      </c>
      <c r="E5" s="16">
        <f>D5-C5</f>
        <v>3718</v>
      </c>
      <c r="F5" s="16">
        <v>872</v>
      </c>
      <c r="G5" s="16">
        <v>0</v>
      </c>
      <c r="H5" s="16">
        <v>2282</v>
      </c>
      <c r="I5" s="16">
        <v>1717</v>
      </c>
      <c r="J5" s="16">
        <f>H5+I5-C5-E5</f>
        <v>0</v>
      </c>
      <c r="K5" s="16">
        <f>C5-H5</f>
        <v>-2001</v>
      </c>
      <c r="L5" s="16"/>
    </row>
    <row r="6" ht="20.05" customHeight="1">
      <c r="B6" s="26"/>
      <c r="C6" s="15">
        <v>129</v>
      </c>
      <c r="D6" s="16">
        <v>3923</v>
      </c>
      <c r="E6" s="16">
        <f>D6-C6</f>
        <v>3794</v>
      </c>
      <c r="F6" s="16">
        <v>923</v>
      </c>
      <c r="G6" s="16">
        <v>0</v>
      </c>
      <c r="H6" s="16">
        <v>2141</v>
      </c>
      <c r="I6" s="16">
        <v>1782</v>
      </c>
      <c r="J6" s="16">
        <f>H6+I6-C6-E6</f>
        <v>0</v>
      </c>
      <c r="K6" s="16">
        <f>C6-H6</f>
        <v>-2012</v>
      </c>
      <c r="L6" s="16"/>
    </row>
    <row r="7" ht="20.05" customHeight="1">
      <c r="B7" s="26"/>
      <c r="C7" s="15">
        <v>146</v>
      </c>
      <c r="D7" s="16">
        <v>3769</v>
      </c>
      <c r="E7" s="16">
        <f>D7-C7</f>
        <v>3623</v>
      </c>
      <c r="F7" s="16">
        <v>968</v>
      </c>
      <c r="G7" s="16">
        <v>0</v>
      </c>
      <c r="H7" s="16">
        <v>2082</v>
      </c>
      <c r="I7" s="16">
        <v>1687</v>
      </c>
      <c r="J7" s="16">
        <f>H7+I7-C7-E7</f>
        <v>0</v>
      </c>
      <c r="K7" s="16">
        <f>C7-H7</f>
        <v>-1936</v>
      </c>
      <c r="L7" s="16"/>
    </row>
    <row r="8" ht="20.05" customHeight="1">
      <c r="B8" s="27">
        <v>2017</v>
      </c>
      <c r="C8" s="15">
        <v>136</v>
      </c>
      <c r="D8" s="16">
        <v>4037</v>
      </c>
      <c r="E8" s="16">
        <f>D8-C8</f>
        <v>3901</v>
      </c>
      <c r="F8" s="16">
        <v>1019</v>
      </c>
      <c r="G8" s="16">
        <v>0</v>
      </c>
      <c r="H8" s="16">
        <v>2175</v>
      </c>
      <c r="I8" s="16">
        <v>1862</v>
      </c>
      <c r="J8" s="16">
        <f>H8+I8-C8-E8</f>
        <v>0</v>
      </c>
      <c r="K8" s="16">
        <f>C8-H8</f>
        <v>-2039</v>
      </c>
      <c r="L8" s="16"/>
    </row>
    <row r="9" ht="20.05" customHeight="1">
      <c r="B9" s="26"/>
      <c r="C9" s="15">
        <v>95</v>
      </c>
      <c r="D9" s="16">
        <v>4053</v>
      </c>
      <c r="E9" s="16">
        <f>D9-C9</f>
        <v>3958</v>
      </c>
      <c r="F9" s="16">
        <v>1067</v>
      </c>
      <c r="G9" s="16">
        <v>0</v>
      </c>
      <c r="H9" s="16">
        <v>2273</v>
      </c>
      <c r="I9" s="16">
        <v>1780</v>
      </c>
      <c r="J9" s="16">
        <f>H9+I9-C9-E9</f>
        <v>0</v>
      </c>
      <c r="K9" s="16">
        <f>C9-H9</f>
        <v>-2178</v>
      </c>
      <c r="L9" s="16"/>
    </row>
    <row r="10" ht="20.05" customHeight="1">
      <c r="B10" s="26"/>
      <c r="C10" s="15">
        <v>146</v>
      </c>
      <c r="D10" s="16">
        <v>4026</v>
      </c>
      <c r="E10" s="16">
        <f>D10-C10</f>
        <v>3880</v>
      </c>
      <c r="F10" s="16">
        <v>1122</v>
      </c>
      <c r="G10" s="16">
        <v>0</v>
      </c>
      <c r="H10" s="16">
        <v>2270</v>
      </c>
      <c r="I10" s="16">
        <v>1756</v>
      </c>
      <c r="J10" s="16">
        <f>H10+I10-C10-E10</f>
        <v>0</v>
      </c>
      <c r="K10" s="16">
        <f>C10-H10</f>
        <v>-2124</v>
      </c>
      <c r="L10" s="16"/>
    </row>
    <row r="11" ht="20.05" customHeight="1">
      <c r="B11" s="26"/>
      <c r="C11" s="15">
        <v>176</v>
      </c>
      <c r="D11" s="16">
        <v>4009</v>
      </c>
      <c r="E11" s="16">
        <f>D11-C11</f>
        <v>3833</v>
      </c>
      <c r="F11" s="16">
        <v>1176</v>
      </c>
      <c r="G11" s="16">
        <v>0</v>
      </c>
      <c r="H11" s="16">
        <v>2371</v>
      </c>
      <c r="I11" s="16">
        <v>1638</v>
      </c>
      <c r="J11" s="16">
        <f>H11+I11-C11-E11</f>
        <v>0</v>
      </c>
      <c r="K11" s="16">
        <f>C11-H11</f>
        <v>-2195</v>
      </c>
      <c r="L11" s="16"/>
    </row>
    <row r="12" ht="20.05" customHeight="1">
      <c r="B12" s="27">
        <v>2018</v>
      </c>
      <c r="C12" s="15">
        <v>129</v>
      </c>
      <c r="D12" s="16">
        <v>4096</v>
      </c>
      <c r="E12" s="16">
        <f>D12-C12</f>
        <v>3967</v>
      </c>
      <c r="F12" s="16">
        <v>1230</v>
      </c>
      <c r="G12" s="16">
        <v>0</v>
      </c>
      <c r="H12" s="16">
        <v>2345</v>
      </c>
      <c r="I12" s="16">
        <v>1751</v>
      </c>
      <c r="J12" s="16">
        <f>H12+I12-C12-E12</f>
        <v>0</v>
      </c>
      <c r="K12" s="16">
        <f>C12-H12</f>
        <v>-2216</v>
      </c>
      <c r="L12" s="16"/>
    </row>
    <row r="13" ht="20.05" customHeight="1">
      <c r="B13" s="26"/>
      <c r="C13" s="15">
        <v>138</v>
      </c>
      <c r="D13" s="16">
        <v>4099</v>
      </c>
      <c r="E13" s="16">
        <f>D13-C13</f>
        <v>3961</v>
      </c>
      <c r="F13" s="16">
        <v>1288</v>
      </c>
      <c r="G13" s="16">
        <v>0</v>
      </c>
      <c r="H13" s="16">
        <v>2274</v>
      </c>
      <c r="I13" s="16">
        <v>1825</v>
      </c>
      <c r="J13" s="16">
        <f>H13+I13-C13-E13</f>
        <v>0</v>
      </c>
      <c r="K13" s="16">
        <f>C13-H13</f>
        <v>-2136</v>
      </c>
      <c r="L13" s="16"/>
    </row>
    <row r="14" ht="20.05" customHeight="1">
      <c r="B14" s="26"/>
      <c r="C14" s="15">
        <v>265</v>
      </c>
      <c r="D14" s="16">
        <v>4349</v>
      </c>
      <c r="E14" s="16">
        <f>D14-C14</f>
        <v>4084</v>
      </c>
      <c r="F14" s="16">
        <v>1346</v>
      </c>
      <c r="G14" s="16">
        <v>0</v>
      </c>
      <c r="H14" s="16">
        <v>2459</v>
      </c>
      <c r="I14" s="16">
        <f>1890</f>
        <v>1890</v>
      </c>
      <c r="J14" s="16">
        <f>H14+I14-C14-E14</f>
        <v>0</v>
      </c>
      <c r="K14" s="16">
        <f>C14-H14</f>
        <v>-2194</v>
      </c>
      <c r="L14" s="16"/>
    </row>
    <row r="15" ht="20.05" customHeight="1">
      <c r="B15" s="26"/>
      <c r="C15" s="15">
        <v>144</v>
      </c>
      <c r="D15" s="16">
        <v>4336</v>
      </c>
      <c r="E15" s="16">
        <f>D15-C15</f>
        <v>4192</v>
      </c>
      <c r="F15" s="16">
        <v>1403</v>
      </c>
      <c r="G15" s="16">
        <v>0</v>
      </c>
      <c r="H15" s="16">
        <v>2344</v>
      </c>
      <c r="I15" s="16">
        <f>95+1897</f>
        <v>1992</v>
      </c>
      <c r="J15" s="16">
        <f>H15+I15-C15-E15</f>
        <v>0</v>
      </c>
      <c r="K15" s="16">
        <f>C15-H15</f>
        <v>-2200</v>
      </c>
      <c r="L15" s="16"/>
    </row>
    <row r="16" ht="20.05" customHeight="1">
      <c r="B16" s="27">
        <v>2019</v>
      </c>
      <c r="C16" s="15">
        <v>216</v>
      </c>
      <c r="D16" s="16">
        <v>4456</v>
      </c>
      <c r="E16" s="16">
        <f>D16-C16</f>
        <v>4240</v>
      </c>
      <c r="F16" s="16">
        <v>1462</v>
      </c>
      <c r="G16" s="16">
        <v>0</v>
      </c>
      <c r="H16" s="16">
        <v>2373</v>
      </c>
      <c r="I16" s="16">
        <f>95+1988</f>
        <v>2083</v>
      </c>
      <c r="J16" s="16">
        <f>H16+I16-C16-E16</f>
        <v>0</v>
      </c>
      <c r="K16" s="16">
        <f>C16-H16</f>
        <v>-2157</v>
      </c>
      <c r="L16" s="16"/>
    </row>
    <row r="17" ht="20.05" customHeight="1">
      <c r="B17" s="26"/>
      <c r="C17" s="15">
        <v>127</v>
      </c>
      <c r="D17" s="16">
        <v>4600</v>
      </c>
      <c r="E17" s="16">
        <f>D17-C17</f>
        <v>4473</v>
      </c>
      <c r="F17" s="16">
        <v>1522</v>
      </c>
      <c r="G17" s="16">
        <v>0</v>
      </c>
      <c r="H17" s="16">
        <v>2513</v>
      </c>
      <c r="I17" s="16">
        <f>93+1994</f>
        <v>2087</v>
      </c>
      <c r="J17" s="16">
        <f>H17+I17-C17-E17</f>
        <v>0</v>
      </c>
      <c r="K17" s="16">
        <f>C17-H17</f>
        <v>-2386</v>
      </c>
      <c r="L17" s="16"/>
    </row>
    <row r="18" ht="20.05" customHeight="1">
      <c r="B18" s="26"/>
      <c r="C18" s="15">
        <v>84</v>
      </c>
      <c r="D18" s="16">
        <v>4765</v>
      </c>
      <c r="E18" s="16">
        <f>D18-C18</f>
        <v>4681</v>
      </c>
      <c r="F18" s="16">
        <v>1576</v>
      </c>
      <c r="G18" s="16">
        <v>0</v>
      </c>
      <c r="H18" s="16">
        <v>2635</v>
      </c>
      <c r="I18" s="16">
        <f>88+2042</f>
        <v>2130</v>
      </c>
      <c r="J18" s="16">
        <f>H18+I18-C18-E18</f>
        <v>0</v>
      </c>
      <c r="K18" s="16">
        <f>C18-H18</f>
        <v>-2551</v>
      </c>
      <c r="L18" s="16"/>
    </row>
    <row r="19" ht="20.05" customHeight="1">
      <c r="B19" s="26"/>
      <c r="C19" s="15">
        <v>120</v>
      </c>
      <c r="D19" s="16">
        <v>4649</v>
      </c>
      <c r="E19" s="16">
        <f>D19-C19</f>
        <v>4529</v>
      </c>
      <c r="F19" s="16">
        <f>1636</f>
        <v>1636</v>
      </c>
      <c r="G19" s="16">
        <v>0</v>
      </c>
      <c r="H19" s="16">
        <v>2537</v>
      </c>
      <c r="I19" s="16">
        <f>83+2029</f>
        <v>2112</v>
      </c>
      <c r="J19" s="16">
        <f>H19+I19-C19-E19</f>
        <v>0</v>
      </c>
      <c r="K19" s="16">
        <f>C19-H19</f>
        <v>-2417</v>
      </c>
      <c r="L19" s="16"/>
    </row>
    <row r="20" ht="20.05" customHeight="1">
      <c r="B20" s="27">
        <v>2020</v>
      </c>
      <c r="C20" s="15">
        <v>190</v>
      </c>
      <c r="D20" s="16">
        <v>4885</v>
      </c>
      <c r="E20" s="16">
        <f>D20-C20</f>
        <v>4695</v>
      </c>
      <c r="F20" s="16">
        <v>1692</v>
      </c>
      <c r="G20" s="16">
        <v>0</v>
      </c>
      <c r="H20" s="16">
        <v>2764</v>
      </c>
      <c r="I20" s="16">
        <f>77+2044</f>
        <v>2121</v>
      </c>
      <c r="J20" s="16">
        <f>H20+I20-C20-E20</f>
        <v>0</v>
      </c>
      <c r="K20" s="16">
        <f>C20-H20</f>
        <v>-2574</v>
      </c>
      <c r="L20" s="33"/>
    </row>
    <row r="21" ht="20.05" customHeight="1">
      <c r="B21" s="26"/>
      <c r="C21" s="15">
        <v>100</v>
      </c>
      <c r="D21" s="16">
        <v>4992.7</v>
      </c>
      <c r="E21" s="16">
        <f>D21-C21</f>
        <v>4892.7</v>
      </c>
      <c r="F21" s="16">
        <v>1755</v>
      </c>
      <c r="G21" s="16">
        <v>0</v>
      </c>
      <c r="H21" s="16">
        <v>2935</v>
      </c>
      <c r="I21" s="16">
        <f>72+1986</f>
        <v>2058</v>
      </c>
      <c r="J21" s="16">
        <f>H21+I21-C21-E21</f>
        <v>0.3</v>
      </c>
      <c r="K21" s="16">
        <f>C21-H21</f>
        <v>-2835</v>
      </c>
      <c r="L21" s="33"/>
    </row>
    <row r="22" ht="20.05" customHeight="1">
      <c r="B22" s="26"/>
      <c r="C22" s="15">
        <v>134</v>
      </c>
      <c r="D22" s="16">
        <v>4944</v>
      </c>
      <c r="E22" s="16">
        <f>D22-C22</f>
        <v>4810</v>
      </c>
      <c r="F22" s="16">
        <v>1822</v>
      </c>
      <c r="G22" s="16">
        <v>0</v>
      </c>
      <c r="H22" s="16">
        <v>2919</v>
      </c>
      <c r="I22" s="16">
        <f>67+1958</f>
        <v>2025</v>
      </c>
      <c r="J22" s="16">
        <f>H22+I22-C22-E22</f>
        <v>0</v>
      </c>
      <c r="K22" s="16">
        <f>C22-H22</f>
        <v>-2785</v>
      </c>
      <c r="L22" s="33"/>
    </row>
    <row r="23" ht="20.05" customHeight="1">
      <c r="B23" s="26"/>
      <c r="C23" s="15">
        <v>178</v>
      </c>
      <c r="D23" s="16">
        <v>4674</v>
      </c>
      <c r="E23" s="16">
        <f>D23-C23</f>
        <v>4496</v>
      </c>
      <c r="F23" s="16">
        <f>1889</f>
        <v>1889</v>
      </c>
      <c r="G23" s="16">
        <v>9</v>
      </c>
      <c r="H23" s="16">
        <v>2529</v>
      </c>
      <c r="I23" s="16">
        <f>161+1984</f>
        <v>2145</v>
      </c>
      <c r="J23" s="16">
        <f>H23+I23-C23-E23</f>
        <v>0</v>
      </c>
      <c r="K23" s="16">
        <f>C23-H23</f>
        <v>-2351</v>
      </c>
      <c r="L23" s="33"/>
    </row>
    <row r="24" ht="20.05" customHeight="1">
      <c r="B24" s="27">
        <v>2021</v>
      </c>
      <c r="C24" s="15">
        <v>226</v>
      </c>
      <c r="D24" s="16">
        <v>4995</v>
      </c>
      <c r="E24" s="16">
        <f>D24-C24</f>
        <v>4769</v>
      </c>
      <c r="F24" s="16">
        <f>1956</f>
        <v>1956</v>
      </c>
      <c r="G24" s="16">
        <f>8</f>
        <v>8</v>
      </c>
      <c r="H24" s="16">
        <v>2865</v>
      </c>
      <c r="I24" s="16">
        <f>2073+57</f>
        <v>2130</v>
      </c>
      <c r="J24" s="16">
        <f>H24+I24-C24-E24</f>
        <v>0</v>
      </c>
      <c r="K24" s="16">
        <f>C24-H24</f>
        <v>-2639</v>
      </c>
      <c r="L24" s="16"/>
    </row>
    <row r="25" ht="20.05" customHeight="1">
      <c r="B25" s="26"/>
      <c r="C25" s="15">
        <v>125</v>
      </c>
      <c r="D25" s="16">
        <v>5100</v>
      </c>
      <c r="E25" s="16">
        <f>D25-C25</f>
        <v>4975</v>
      </c>
      <c r="F25" s="16">
        <f>2020</f>
        <v>2020</v>
      </c>
      <c r="G25" s="16">
        <v>7</v>
      </c>
      <c r="H25" s="16">
        <v>2936</v>
      </c>
      <c r="I25" s="16">
        <f>51+2113</f>
        <v>2164</v>
      </c>
      <c r="J25" s="16">
        <f>H25+I25-C25-E25</f>
        <v>0</v>
      </c>
      <c r="K25" s="16">
        <f>C25-H25</f>
        <v>-2811</v>
      </c>
      <c r="L25" s="33"/>
    </row>
    <row r="26" ht="20.05" customHeight="1">
      <c r="B26" s="26"/>
      <c r="C26" s="15">
        <v>167</v>
      </c>
      <c r="D26" s="16">
        <v>5385</v>
      </c>
      <c r="E26" s="16">
        <f>D26-C26</f>
        <v>5218</v>
      </c>
      <c r="F26" s="16">
        <v>2086</v>
      </c>
      <c r="G26" s="16">
        <f>1+4</f>
        <v>5</v>
      </c>
      <c r="H26" s="16">
        <v>3336</v>
      </c>
      <c r="I26" s="16">
        <f>2003+46</f>
        <v>2049</v>
      </c>
      <c r="J26" s="16">
        <f>H26+I26-C26-E26</f>
        <v>0</v>
      </c>
      <c r="K26" s="16">
        <f>C26-H26</f>
        <v>-3169</v>
      </c>
      <c r="L26" s="16"/>
    </row>
    <row r="27" ht="20.05" customHeight="1">
      <c r="B27" s="26"/>
      <c r="C27" s="15">
        <v>180</v>
      </c>
      <c r="D27" s="16">
        <v>5437</v>
      </c>
      <c r="E27" s="16">
        <f>D27-C27</f>
        <v>5257</v>
      </c>
      <c r="F27" s="16">
        <v>2153</v>
      </c>
      <c r="G27" s="16">
        <f>4.3+7.6</f>
        <v>11.9</v>
      </c>
      <c r="H27" s="16">
        <v>3048</v>
      </c>
      <c r="I27" s="16">
        <f>2048+341</f>
        <v>2389</v>
      </c>
      <c r="J27" s="16">
        <f>H27+I27-C27-E27</f>
        <v>0</v>
      </c>
      <c r="K27" s="16">
        <f>C27-H27</f>
        <v>-2868</v>
      </c>
      <c r="L27" s="16"/>
    </row>
    <row r="28" ht="20.05" customHeight="1">
      <c r="B28" s="27">
        <v>2022</v>
      </c>
      <c r="C28" s="15">
        <v>122</v>
      </c>
      <c r="D28" s="16">
        <v>5401</v>
      </c>
      <c r="E28" s="16">
        <f>D28-C28</f>
        <v>5279</v>
      </c>
      <c r="F28" s="16">
        <f>2220</f>
        <v>2220</v>
      </c>
      <c r="G28" s="16">
        <f>4+7</f>
        <v>11</v>
      </c>
      <c r="H28" s="16">
        <v>3007</v>
      </c>
      <c r="I28" s="16">
        <f>2059+335</f>
        <v>2394</v>
      </c>
      <c r="J28" s="16">
        <f>H28+I28-C28-E28</f>
        <v>0</v>
      </c>
      <c r="K28" s="16">
        <f>C28-H28</f>
        <v>-2885</v>
      </c>
      <c r="L28" s="16">
        <v>-3082.173052217180</v>
      </c>
    </row>
    <row r="29" ht="20.05" customHeight="1">
      <c r="B29" s="26"/>
      <c r="C29" s="15"/>
      <c r="D29" s="16"/>
      <c r="E29" s="16"/>
      <c r="F29" s="16"/>
      <c r="G29" s="16"/>
      <c r="H29" s="16"/>
      <c r="I29" s="16"/>
      <c r="J29" s="16"/>
      <c r="K29" s="16"/>
      <c r="L29" s="16">
        <f>'Model'!F32</f>
        <v>-2723.030424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5" width="9.9375" style="34" customWidth="1"/>
    <col min="6" max="16384" width="16.3516" style="34" customWidth="1"/>
  </cols>
  <sheetData>
    <row r="1" ht="30.7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35">
        <v>55</v>
      </c>
      <c r="D3" t="s" s="35">
        <v>38</v>
      </c>
      <c r="E3" t="s" s="35">
        <v>56</v>
      </c>
    </row>
    <row r="4" ht="20.25" customHeight="1">
      <c r="B4" s="23">
        <v>2018</v>
      </c>
      <c r="C4" s="24">
        <v>705</v>
      </c>
      <c r="D4" s="8"/>
      <c r="E4" s="8"/>
    </row>
    <row r="5" ht="20.05" customHeight="1">
      <c r="B5" s="26"/>
      <c r="C5" s="15">
        <v>685</v>
      </c>
      <c r="D5" s="19"/>
      <c r="E5" s="19"/>
    </row>
    <row r="6" ht="20.05" customHeight="1">
      <c r="B6" s="26"/>
      <c r="C6" s="15">
        <v>1270</v>
      </c>
      <c r="D6" s="19"/>
      <c r="E6" s="19"/>
    </row>
    <row r="7" ht="20.05" customHeight="1">
      <c r="B7" s="26"/>
      <c r="C7" s="15">
        <v>1395</v>
      </c>
      <c r="D7" s="19"/>
      <c r="E7" s="19"/>
    </row>
    <row r="8" ht="20.05" customHeight="1">
      <c r="B8" s="27">
        <v>2019</v>
      </c>
      <c r="C8" s="15">
        <v>1330</v>
      </c>
      <c r="D8" s="19"/>
      <c r="E8" s="19"/>
    </row>
    <row r="9" ht="20.05" customHeight="1">
      <c r="B9" s="26"/>
      <c r="C9" s="15">
        <v>1100</v>
      </c>
      <c r="D9" s="19"/>
      <c r="E9" s="19"/>
    </row>
    <row r="10" ht="20.05" customHeight="1">
      <c r="B10" s="26"/>
      <c r="C10" s="15">
        <v>915</v>
      </c>
      <c r="D10" s="19"/>
      <c r="E10" s="19"/>
    </row>
    <row r="11" ht="20.05" customHeight="1">
      <c r="B11" s="26"/>
      <c r="C11" s="15">
        <v>1005</v>
      </c>
      <c r="D11" s="19"/>
      <c r="E11" s="19"/>
    </row>
    <row r="12" ht="20.05" customHeight="1">
      <c r="B12" s="27">
        <v>2020</v>
      </c>
      <c r="C12" s="15">
        <v>406</v>
      </c>
      <c r="D12" s="19"/>
      <c r="E12" s="19"/>
    </row>
    <row r="13" ht="20.05" customHeight="1">
      <c r="B13" s="26"/>
      <c r="C13" s="15">
        <v>585</v>
      </c>
      <c r="D13" s="19"/>
      <c r="E13" s="19"/>
    </row>
    <row r="14" ht="20.05" customHeight="1">
      <c r="B14" s="26"/>
      <c r="C14" s="15">
        <v>510</v>
      </c>
      <c r="D14" s="19"/>
      <c r="E14" s="19"/>
    </row>
    <row r="15" ht="20.05" customHeight="1">
      <c r="B15" s="26"/>
      <c r="C15" s="15">
        <v>740</v>
      </c>
      <c r="D15" s="19"/>
      <c r="E15" s="19"/>
    </row>
    <row r="16" ht="20.05" customHeight="1">
      <c r="B16" s="27">
        <v>2021</v>
      </c>
      <c r="C16" s="15">
        <v>745</v>
      </c>
      <c r="D16" s="19"/>
      <c r="E16" s="19"/>
    </row>
    <row r="17" ht="20.05" customHeight="1">
      <c r="B17" s="26"/>
      <c r="C17" s="15">
        <v>710</v>
      </c>
      <c r="D17" s="19"/>
      <c r="E17" s="19"/>
    </row>
    <row r="18" ht="20.05" customHeight="1">
      <c r="B18" s="26"/>
      <c r="C18" s="15">
        <v>800</v>
      </c>
      <c r="D18" s="19"/>
      <c r="E18" s="19"/>
    </row>
    <row r="19" ht="20.05" customHeight="1">
      <c r="B19" s="26"/>
      <c r="C19" s="15">
        <v>670</v>
      </c>
      <c r="D19" s="19"/>
      <c r="E19" s="19"/>
    </row>
    <row r="20" ht="20.05" customHeight="1">
      <c r="B20" s="27">
        <v>2022</v>
      </c>
      <c r="C20" s="15">
        <v>695</v>
      </c>
      <c r="D20" s="19"/>
      <c r="E20" s="19"/>
    </row>
    <row r="21" ht="20.05" customHeight="1">
      <c r="B21" s="26"/>
      <c r="C21" s="15">
        <v>605</v>
      </c>
      <c r="D21" s="33">
        <f>C21</f>
        <v>605</v>
      </c>
      <c r="E21" s="19"/>
    </row>
    <row r="22" ht="20.05" customHeight="1">
      <c r="B22" s="26"/>
      <c r="C22" s="15"/>
      <c r="D22" s="33">
        <f>'Model'!F45</f>
        <v>842.450006672295</v>
      </c>
      <c r="E22" s="33">
        <v>647.050491402569</v>
      </c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