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<sst xmlns="http://schemas.openxmlformats.org/spreadsheetml/2006/main" uniqueCount="89">
  <si>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</si>
  <si>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</si>
  <si>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</si>
  <si>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</si>
  <si>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</si>
  <si>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</si>
  <si>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</si>
  <si>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</si>
  <si>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</si>
  <si>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</si>
  <si>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</si>
  <si>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>Finance</t>
  </si>
  <si>
    <t xml:space="preserve">Liabilities </t>
  </si>
  <si>
    <t xml:space="preserve">Revolver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</si>
  <si>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</si>
  <si>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</si>
  <si>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</si>
  <si>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</si>
  <si>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</si>
  <si>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</si>
  <si>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</si>
  <si>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</si>
  <si>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</si>
  <si>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</si>
  <si>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</si>
  <si>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</si>
  <si>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</si>
  <si>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</si>
  <si>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</si>
  <si>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</si>
  <si>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>Capital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</si>
  <si>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</si>
  <si>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</si>
  <si>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</si>
  <si>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</si>
  <si>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</si>
  <si>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</si>
  <si>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</si>
  <si>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</si>
  <si>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</si>
  <si>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</si>
  <si>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</si>
  <si>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</si>
  <si>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Retail sales</t>
  </si>
  <si>
    <t xml:space="preserve">Profit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</si>
  <si>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</si>
  <si>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</si>
  <si>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</si>
  <si>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</si>
  <si>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</si>
  <si>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</si>
  <si>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 xml:space="preserve">Interest </t>
  </si>
  <si>
    <t xml:space="preserve">Free cashflow </t>
  </si>
  <si>
    <t xml:space="preserve">Capital </t>
  </si>
  <si>
    <t>Rp bn</t>
  </si>
  <si>
    <t>Cash</t>
  </si>
  <si>
    <t>Assets</t>
  </si>
  <si>
    <t>Share price</t>
  </si>
  <si>
    <t>LPPF</t>
  </si>
  <si>
    <t xml:space="preserve">Previous 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</si>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</sst>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mmmm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1552"/>
          <c:y val="0.0446026"/>
          <c:w val="0.83987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'!$E$3:$E$16</c:f>
              <c:numCache>
                <c:ptCount val="14"/>
                <c:pt idx="0">
                  <c:v>-4.800000</c:v>
                </c:pt>
                <c:pt idx="1">
                  <c:v>-17.450000</c:v>
                </c:pt>
                <c:pt idx="2">
                  <c:v>3928.550000</c:v>
                </c:pt>
                <c:pt idx="3">
                  <c:v>4554.550000</c:v>
                </c:pt>
                <c:pt idx="4">
                  <c:v>3875.550000</c:v>
                </c:pt>
                <c:pt idx="5">
                  <c:v>2475.550000</c:v>
                </c:pt>
                <c:pt idx="6">
                  <c:v>1487.550000</c:v>
                </c:pt>
                <c:pt idx="7">
                  <c:v>787.550000</c:v>
                </c:pt>
                <c:pt idx="8">
                  <c:v>787.550000</c:v>
                </c:pt>
                <c:pt idx="9">
                  <c:v>787.550000</c:v>
                </c:pt>
                <c:pt idx="10">
                  <c:v>787.550000</c:v>
                </c:pt>
                <c:pt idx="11">
                  <c:v>787.550000</c:v>
                </c:pt>
                <c:pt idx="12">
                  <c:v>1798.550000</c:v>
                </c:pt>
                <c:pt idx="13">
                  <c:v>787.550000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'!$F$3:$F$16</c:f>
              <c:numCache>
                <c:ptCount val="14"/>
                <c:pt idx="0">
                  <c:v>0.000000</c:v>
                </c:pt>
                <c:pt idx="1">
                  <c:v>420.400000</c:v>
                </c:pt>
                <c:pt idx="2">
                  <c:v>4456.400000</c:v>
                </c:pt>
                <c:pt idx="3">
                  <c:v>4453.900000</c:v>
                </c:pt>
                <c:pt idx="4">
                  <c:v>4453.900000</c:v>
                </c:pt>
                <c:pt idx="5">
                  <c:v>4453.900000</c:v>
                </c:pt>
                <c:pt idx="6">
                  <c:v>3993.900000</c:v>
                </c:pt>
                <c:pt idx="7">
                  <c:v>3142.900000</c:v>
                </c:pt>
                <c:pt idx="8">
                  <c:v>1895.900000</c:v>
                </c:pt>
                <c:pt idx="9">
                  <c:v>481.900000</c:v>
                </c:pt>
                <c:pt idx="10">
                  <c:v>-1177.100000</c:v>
                </c:pt>
                <c:pt idx="11">
                  <c:v>-2593.100000</c:v>
                </c:pt>
                <c:pt idx="12">
                  <c:v>-2930.100000</c:v>
                </c:pt>
                <c:pt idx="13">
                  <c:v>-3050.100000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 '!$G$3:$G$16</c:f>
              <c:numCache>
                <c:ptCount val="14"/>
                <c:pt idx="0">
                  <c:v>-4.800000</c:v>
                </c:pt>
                <c:pt idx="1">
                  <c:v>402.950000</c:v>
                </c:pt>
                <c:pt idx="2">
                  <c:v>8384.950000</c:v>
                </c:pt>
                <c:pt idx="3">
                  <c:v>9008.450000</c:v>
                </c:pt>
                <c:pt idx="4">
                  <c:v>8329.450000</c:v>
                </c:pt>
                <c:pt idx="5">
                  <c:v>6929.450000</c:v>
                </c:pt>
                <c:pt idx="6">
                  <c:v>5481.450000</c:v>
                </c:pt>
                <c:pt idx="7">
                  <c:v>3930.450000</c:v>
                </c:pt>
                <c:pt idx="8">
                  <c:v>2683.450000</c:v>
                </c:pt>
                <c:pt idx="9">
                  <c:v>1269.450000</c:v>
                </c:pt>
                <c:pt idx="10">
                  <c:v>-389.550000</c:v>
                </c:pt>
                <c:pt idx="11">
                  <c:v>-1805.550000</c:v>
                </c:pt>
                <c:pt idx="12">
                  <c:v>-1131.550000</c:v>
                </c:pt>
                <c:pt idx="13">
                  <c:v>-2262.550000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"/>
        <c:minorUnit val="1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55596"/>
          <c:y val="0.0447676"/>
          <c:w val="0.37842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681280</xdr:colOff>
      <xdr:row>1</xdr:row>
      <xdr:rowOff>259538</xdr:rowOff>
    </xdr:from>
    <xdr:to>
      <xdr:col>13</xdr:col>
      <xdr:colOff>620433</xdr:colOff>
      <xdr:row>49</xdr:row>
      <xdr:rowOff>27655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69180" y="730073"/>
          <a:ext cx="8651354" cy="121150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345856</xdr:colOff>
      <xdr:row>21</xdr:row>
      <xdr:rowOff>72764</xdr:rowOff>
    </xdr:from>
    <xdr:to>
      <xdr:col>7</xdr:col>
      <xdr:colOff>216380</xdr:colOff>
      <xdr:row>30</xdr:row>
      <xdr:rowOff>51364</xdr:rowOff>
    </xdr:to>
    <xdr:graphicFrame>
      <xdr:nvGraphicFramePr>
        <xdr:cNvPr id="4" name="2D Line Chart"/>
        <xdr:cNvGraphicFramePr/>
      </xdr:nvGraphicFramePr>
      <xdr:xfrm>
        <a:off x="1819056" y="5773794"/>
        <a:ext cx="3553525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136126</xdr:colOff>
      <xdr:row>17</xdr:row>
      <xdr:rowOff>79135</xdr:rowOff>
    </xdr:from>
    <xdr:to>
      <xdr:col>7</xdr:col>
      <xdr:colOff>684779</xdr:colOff>
      <xdr:row>21</xdr:row>
      <xdr:rowOff>227297</xdr:rowOff>
    </xdr:to>
    <xdr:sp>
      <xdr:nvSpPr>
        <xdr:cNvPr id="5" name="LPPF RAISED 9 TRILLION &amp; HAS NOW PAID 2.2 TRILLION RUPIAH"/>
        <xdr:cNvSpPr txBox="1"/>
      </xdr:nvSpPr>
      <xdr:spPr>
        <a:xfrm>
          <a:off x="1609326" y="4507625"/>
          <a:ext cx="4231654" cy="14207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LPPF RAISED 9 TRILLION &amp; HAS NOW PAID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2.2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3281" style="1" customWidth="1"/>
    <col min="2" max="2" width="14.7656" style="1" customWidth="1"/>
    <col min="3" max="6" width="9.09375" style="1" customWidth="1"/>
    <col min="7" max="16384" width="16.3516" style="1" customWidth="1"/>
  </cols>
  <sheetData>
    <row r="1" ht="37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s="4"/>
      <c r="F3" t="s" s="5">
        <v>2</v>
      </c>
    </row>
    <row r="4" ht="20.3" customHeight="1">
      <c r="B4" t="s" s="6">
        <v>3</v>
      </c>
      <c r="C4" s="7">
        <f>AVERAGE('Sales'!G28:G31)</f>
        <v>2.13873472207019</v>
      </c>
      <c r="D4" s="8"/>
      <c r="E4" s="8"/>
      <c r="F4" s="9">
        <f>AVERAGE(C5:F5)</f>
        <v>-0.025</v>
      </c>
    </row>
    <row r="5" ht="20.1" customHeight="1">
      <c r="B5" t="s" s="10">
        <v>4</v>
      </c>
      <c r="C5" s="11">
        <v>-0.3</v>
      </c>
      <c r="D5" s="12">
        <v>0.1</v>
      </c>
      <c r="E5" s="12">
        <v>-0.1</v>
      </c>
      <c r="F5" s="12">
        <v>0.2</v>
      </c>
    </row>
    <row r="6" ht="20.1" customHeight="1">
      <c r="B6" t="s" s="10">
        <v>5</v>
      </c>
      <c r="C6" s="13">
        <f>'Sales'!C31*(1+C5)</f>
        <v>2148.72</v>
      </c>
      <c r="D6" s="14">
        <f>C6*(1+D5)</f>
        <v>2363.592</v>
      </c>
      <c r="E6" s="14">
        <f>D6*(1+E5)</f>
        <v>2127.2328</v>
      </c>
      <c r="F6" s="14">
        <f>E6*(1+F5)</f>
        <v>2552.67936</v>
      </c>
    </row>
    <row r="7" ht="20.1" customHeight="1">
      <c r="B7" t="s" s="10">
        <v>6</v>
      </c>
      <c r="C7" s="15">
        <f>AVERAGE('Sales'!I31)</f>
        <v>-0.674318358971902</v>
      </c>
      <c r="D7" s="16">
        <f>C7</f>
        <v>-0.674318358971902</v>
      </c>
      <c r="E7" s="16">
        <f>D7</f>
        <v>-0.674318358971902</v>
      </c>
      <c r="F7" s="16">
        <f>E7</f>
        <v>-0.674318358971902</v>
      </c>
    </row>
    <row r="8" ht="20.1" customHeight="1">
      <c r="B8" t="s" s="10">
        <v>7</v>
      </c>
      <c r="C8" s="17">
        <f>C7*C6</f>
        <v>-1448.921344290110</v>
      </c>
      <c r="D8" s="18">
        <f>D7*D6</f>
        <v>-1593.813478719120</v>
      </c>
      <c r="E8" s="18">
        <f>E7*E6</f>
        <v>-1434.4321308472</v>
      </c>
      <c r="F8" s="18">
        <f>F7*F6</f>
        <v>-1721.318557016650</v>
      </c>
    </row>
    <row r="9" ht="20.1" customHeight="1">
      <c r="B9" t="s" s="10">
        <v>8</v>
      </c>
      <c r="C9" s="13">
        <f>C6+C8</f>
        <v>699.798655709890</v>
      </c>
      <c r="D9" s="14">
        <f>D6+D8</f>
        <v>769.778521280880</v>
      </c>
      <c r="E9" s="14">
        <f>E6+E8</f>
        <v>692.8006691528</v>
      </c>
      <c r="F9" s="14">
        <f>F6+F8</f>
        <v>831.360802983350</v>
      </c>
    </row>
    <row r="10" ht="20.05" customHeight="1">
      <c r="B10" t="s" s="10">
        <v>9</v>
      </c>
      <c r="C10" s="13">
        <f>AVERAGE('Cashflow'!E31)</f>
        <v>-143</v>
      </c>
      <c r="D10" s="14">
        <f>C10</f>
        <v>-143</v>
      </c>
      <c r="E10" s="14">
        <f>D10</f>
        <v>-143</v>
      </c>
      <c r="F10" s="14">
        <f>E10</f>
        <v>-143</v>
      </c>
    </row>
    <row r="11" ht="20.1" customHeight="1">
      <c r="B11" t="s" s="10">
        <v>10</v>
      </c>
      <c r="C11" s="13">
        <f>AVERAGE('Cashflow'!G28:G31)</f>
        <v>-149.75</v>
      </c>
      <c r="D11" s="14">
        <f>C11</f>
        <v>-149.75</v>
      </c>
      <c r="E11" s="14">
        <f>D11</f>
        <v>-149.75</v>
      </c>
      <c r="F11" s="14">
        <f>E11</f>
        <v>-149.75</v>
      </c>
    </row>
    <row r="12" ht="20.1" customHeight="1">
      <c r="B12" t="s" s="10">
        <v>11</v>
      </c>
      <c r="C12" s="13">
        <f>C13+C15+C14</f>
        <v>-380.579596712967</v>
      </c>
      <c r="D12" s="14">
        <f>D13+D15+D14</f>
        <v>-389.461056384264</v>
      </c>
      <c r="E12" s="14">
        <f>E13+E15+E14</f>
        <v>-354.860825745840</v>
      </c>
      <c r="F12" s="14">
        <f>F13+F15+F14</f>
        <v>-385.497334645005</v>
      </c>
    </row>
    <row r="13" ht="20.1" customHeight="1">
      <c r="B13" t="s" s="10">
        <v>12</v>
      </c>
      <c r="C13" s="13">
        <f>-('Balance sheet'!G31)/20</f>
        <v>-242.25</v>
      </c>
      <c r="D13" s="14">
        <f>-C27/20</f>
        <v>-230.1375</v>
      </c>
      <c r="E13" s="14">
        <f>-D27/20</f>
        <v>-218.630625</v>
      </c>
      <c r="F13" s="14">
        <f>-E27/20</f>
        <v>-207.69909375</v>
      </c>
    </row>
    <row r="14" ht="20.1" customHeight="1">
      <c r="B14" t="s" s="10">
        <v>13</v>
      </c>
      <c r="C14" s="13">
        <f>-MIN(0,C16)</f>
        <v>0</v>
      </c>
      <c r="D14" s="14">
        <f>-MIN(C28,D16)</f>
        <v>0</v>
      </c>
      <c r="E14" s="14">
        <f>-MIN(D28,E16)</f>
        <v>0</v>
      </c>
      <c r="F14" s="14">
        <f>-MIN(E28,F16)</f>
        <v>0</v>
      </c>
    </row>
    <row r="15" ht="20.1" customHeight="1">
      <c r="B15" t="s" s="10">
        <v>14</v>
      </c>
      <c r="C15" s="13">
        <f>IF(C22&gt;0,-C22*0.3,0)</f>
        <v>-138.329596712967</v>
      </c>
      <c r="D15" s="14">
        <f>IF(D22&gt;0,-D22*0.3,0)</f>
        <v>-159.323556384264</v>
      </c>
      <c r="E15" s="14">
        <f>IF(E22&gt;0,-E22*0.3,0)</f>
        <v>-136.230200745840</v>
      </c>
      <c r="F15" s="14">
        <f>IF(F22&gt;0,-F22*0.3,0)</f>
        <v>-177.798240895005</v>
      </c>
    </row>
    <row r="16" ht="20.05" customHeight="1">
      <c r="B16" t="s" s="10">
        <v>15</v>
      </c>
      <c r="C16" s="13">
        <f>C9+C10+C13+C15</f>
        <v>176.219058996923</v>
      </c>
      <c r="D16" s="14">
        <f>D9+D10+D13+D15</f>
        <v>237.317464896616</v>
      </c>
      <c r="E16" s="14">
        <f>E9+E10+E13+E15</f>
        <v>194.939843406960</v>
      </c>
      <c r="F16" s="14">
        <f>F9+F10+F13+F15</f>
        <v>302.863468338345</v>
      </c>
    </row>
    <row r="17" ht="20.1" customHeight="1">
      <c r="B17" t="s" s="10">
        <v>16</v>
      </c>
      <c r="C17" s="13">
        <f>'Balance sheet'!C31</f>
        <v>661</v>
      </c>
      <c r="D17" s="14">
        <f>C19</f>
        <v>837.219058996923</v>
      </c>
      <c r="E17" s="14">
        <f>D19</f>
        <v>1074.536523893540</v>
      </c>
      <c r="F17" s="14">
        <f>E19</f>
        <v>1269.4763673005</v>
      </c>
    </row>
    <row r="18" ht="20.1" customHeight="1">
      <c r="B18" t="s" s="10">
        <v>17</v>
      </c>
      <c r="C18" s="13">
        <f>C9+C10+C12</f>
        <v>176.219058996923</v>
      </c>
      <c r="D18" s="14">
        <f>D9+D10+D12</f>
        <v>237.317464896616</v>
      </c>
      <c r="E18" s="14">
        <f>E9+E10+E12</f>
        <v>194.939843406960</v>
      </c>
      <c r="F18" s="14">
        <f>F9+F10+F12</f>
        <v>302.863468338345</v>
      </c>
    </row>
    <row r="19" ht="20.1" customHeight="1">
      <c r="B19" t="s" s="10">
        <v>18</v>
      </c>
      <c r="C19" s="13">
        <f>C17+C18</f>
        <v>837.219058996923</v>
      </c>
      <c r="D19" s="14">
        <f>D17+D18</f>
        <v>1074.536523893540</v>
      </c>
      <c r="E19" s="14">
        <f>E17+E18</f>
        <v>1269.4763673005</v>
      </c>
      <c r="F19" s="14">
        <f>F17+F18</f>
        <v>1572.339835638850</v>
      </c>
    </row>
    <row r="20" ht="20.1" customHeight="1">
      <c r="B20" t="s" s="19">
        <v>19</v>
      </c>
      <c r="C20" s="20"/>
      <c r="D20" s="21"/>
      <c r="E20" s="21"/>
      <c r="F20" s="22"/>
    </row>
    <row r="21" ht="20.1" customHeight="1">
      <c r="B21" t="s" s="10">
        <v>20</v>
      </c>
      <c r="C21" s="13">
        <f>-AVERAGE('Sales'!E31)</f>
        <v>-238.7</v>
      </c>
      <c r="D21" s="14">
        <f>C21</f>
        <v>-238.7</v>
      </c>
      <c r="E21" s="14">
        <f>D21</f>
        <v>-238.7</v>
      </c>
      <c r="F21" s="14">
        <f>E21</f>
        <v>-238.7</v>
      </c>
    </row>
    <row r="22" ht="20.1" customHeight="1">
      <c r="B22" t="s" s="10">
        <v>21</v>
      </c>
      <c r="C22" s="13">
        <f>C6+C8+C21</f>
        <v>461.098655709890</v>
      </c>
      <c r="D22" s="14">
        <f>D6+D8+D21</f>
        <v>531.078521280880</v>
      </c>
      <c r="E22" s="14">
        <f>E6+E8+E21</f>
        <v>454.1006691528</v>
      </c>
      <c r="F22" s="14">
        <f>F6+F8+F21</f>
        <v>592.660802983350</v>
      </c>
    </row>
    <row r="23" ht="20.1" customHeight="1">
      <c r="B23" t="s" s="19">
        <v>22</v>
      </c>
      <c r="C23" s="20"/>
      <c r="D23" s="21"/>
      <c r="E23" s="21"/>
      <c r="F23" s="14"/>
    </row>
    <row r="24" ht="20.1" customHeight="1">
      <c r="B24" t="s" s="10">
        <v>23</v>
      </c>
      <c r="C24" s="13">
        <f>'Balance sheet'!E31+'Balance sheet'!F31-C10</f>
        <v>9014.700000000001</v>
      </c>
      <c r="D24" s="14">
        <f>C24-D10</f>
        <v>9157.700000000001</v>
      </c>
      <c r="E24" s="14">
        <f>D24-E10</f>
        <v>9300.700000000001</v>
      </c>
      <c r="F24" s="14">
        <f>E24-F10</f>
        <v>9443.700000000001</v>
      </c>
    </row>
    <row r="25" ht="20.1" customHeight="1">
      <c r="B25" t="s" s="10">
        <v>24</v>
      </c>
      <c r="C25" s="13">
        <f>'Balance sheet'!F31-C21</f>
        <v>3920.4</v>
      </c>
      <c r="D25" s="14">
        <f>C25-D21</f>
        <v>4159.1</v>
      </c>
      <c r="E25" s="14">
        <f>D25-E21</f>
        <v>4397.8</v>
      </c>
      <c r="F25" s="14">
        <f>E25-F21</f>
        <v>4636.5</v>
      </c>
    </row>
    <row r="26" ht="20.1" customHeight="1">
      <c r="B26" t="s" s="10">
        <v>25</v>
      </c>
      <c r="C26" s="13">
        <f>C24-C25</f>
        <v>5094.3</v>
      </c>
      <c r="D26" s="14">
        <f>D24-D25</f>
        <v>4998.6</v>
      </c>
      <c r="E26" s="14">
        <f>E24-E25</f>
        <v>4902.9</v>
      </c>
      <c r="F26" s="14">
        <f>F24-F25</f>
        <v>4807.2</v>
      </c>
    </row>
    <row r="27" ht="20.1" customHeight="1">
      <c r="B27" t="s" s="10">
        <v>12</v>
      </c>
      <c r="C27" s="13">
        <f>'Balance sheet'!G31+C13</f>
        <v>4602.75</v>
      </c>
      <c r="D27" s="14">
        <f>C27+D13</f>
        <v>4372.6125</v>
      </c>
      <c r="E27" s="14">
        <f>D27+E13</f>
        <v>4153.981875</v>
      </c>
      <c r="F27" s="14">
        <f>E27+F13</f>
        <v>3946.28278125</v>
      </c>
    </row>
    <row r="28" ht="20.1" customHeight="1">
      <c r="B28" t="s" s="10">
        <v>13</v>
      </c>
      <c r="C28" s="13">
        <f>C14</f>
        <v>0</v>
      </c>
      <c r="D28" s="14">
        <f>C28+D14</f>
        <v>0</v>
      </c>
      <c r="E28" s="14">
        <f>D28+E14</f>
        <v>0</v>
      </c>
      <c r="F28" s="14">
        <f>E28+F14</f>
        <v>0</v>
      </c>
    </row>
    <row r="29" ht="20.1" customHeight="1">
      <c r="B29" t="s" s="10">
        <v>26</v>
      </c>
      <c r="C29" s="13">
        <f>'Balance sheet'!H31+C22+C15</f>
        <v>1328.769058996920</v>
      </c>
      <c r="D29" s="14">
        <f>C29+D22+D15</f>
        <v>1700.524023893540</v>
      </c>
      <c r="E29" s="14">
        <f>D29+E22+E15</f>
        <v>2018.3944923005</v>
      </c>
      <c r="F29" s="14">
        <f>E29+F22+F15</f>
        <v>2433.257054388850</v>
      </c>
    </row>
    <row r="30" ht="20.1" customHeight="1">
      <c r="B30" t="s" s="10">
        <v>27</v>
      </c>
      <c r="C30" s="13">
        <f>C27+C28+C29-C19-C26</f>
        <v>-3e-12</v>
      </c>
      <c r="D30" s="14">
        <f>D27+D28+D29-D19-D26</f>
        <v>0</v>
      </c>
      <c r="E30" s="14">
        <f>E27+E28+E29-E19-E26</f>
        <v>0</v>
      </c>
      <c r="F30" s="14">
        <f>F27+F28+F29-F19-F26</f>
        <v>0</v>
      </c>
    </row>
    <row r="31" ht="20.1" customHeight="1">
      <c r="B31" t="s" s="10">
        <v>28</v>
      </c>
      <c r="C31" s="13">
        <f>C20-C27-C28</f>
        <v>-4602.75</v>
      </c>
      <c r="D31" s="14">
        <f>D20-D27-D28</f>
        <v>-4372.6125</v>
      </c>
      <c r="E31" s="14">
        <f>E20-E27-E28</f>
        <v>-4153.981875</v>
      </c>
      <c r="F31" s="14">
        <f>F20-F27-F28</f>
        <v>-3946.28278125</v>
      </c>
    </row>
    <row r="32" ht="20.1" customHeight="1">
      <c r="B32" t="s" s="19">
        <v>29</v>
      </c>
      <c r="C32" s="13"/>
      <c r="D32" s="14"/>
      <c r="E32" s="14"/>
      <c r="F32" s="14"/>
    </row>
    <row r="33" ht="20.1" customHeight="1">
      <c r="B33" t="s" s="10">
        <v>30</v>
      </c>
      <c r="C33" s="13">
        <f>'Cashflow'!N31-C12</f>
        <v>8457.479596712970</v>
      </c>
      <c r="D33" s="14">
        <f>C33-D12</f>
        <v>8846.940653097230</v>
      </c>
      <c r="E33" s="14">
        <f>D33-E12</f>
        <v>9201.801478843070</v>
      </c>
      <c r="F33" s="14">
        <f>E33-F12</f>
        <v>9587.298813488080</v>
      </c>
    </row>
    <row r="34" ht="20.1" customHeight="1">
      <c r="B34" t="s" s="10">
        <v>31</v>
      </c>
      <c r="C34" s="13"/>
      <c r="D34" s="14"/>
      <c r="E34" s="14"/>
      <c r="F34" s="14">
        <v>12342904487936</v>
      </c>
    </row>
    <row r="35" ht="20.1" customHeight="1">
      <c r="B35" t="s" s="10">
        <v>31</v>
      </c>
      <c r="C35" s="13"/>
      <c r="D35" s="14"/>
      <c r="E35" s="14"/>
      <c r="F35" s="14">
        <f>F34/1000000000</f>
        <v>12342.904487936</v>
      </c>
    </row>
    <row r="36" ht="20.1" customHeight="1">
      <c r="B36" t="s" s="10">
        <v>32</v>
      </c>
      <c r="C36" s="13"/>
      <c r="D36" s="14"/>
      <c r="E36" s="14"/>
      <c r="F36" s="23">
        <f>F35/(F19+F26)</f>
        <v>1.93476407482923</v>
      </c>
    </row>
    <row r="37" ht="20.1" customHeight="1">
      <c r="B37" t="s" s="10">
        <v>33</v>
      </c>
      <c r="C37" s="13"/>
      <c r="D37" s="14"/>
      <c r="E37" s="14"/>
      <c r="F37" s="16">
        <f>-(C15+D15+E15+F15)/F35</f>
        <v>0.049557346517259</v>
      </c>
    </row>
    <row r="38" ht="20.1" customHeight="1">
      <c r="B38" t="s" s="10">
        <v>3</v>
      </c>
      <c r="C38" s="13"/>
      <c r="D38" s="14"/>
      <c r="E38" s="14"/>
      <c r="F38" s="14">
        <f>SUM(C9:F11)</f>
        <v>1822.738649126920</v>
      </c>
    </row>
    <row r="39" ht="20.1" customHeight="1">
      <c r="B39" t="s" s="10">
        <v>34</v>
      </c>
      <c r="C39" s="13"/>
      <c r="D39" s="14"/>
      <c r="E39" s="14"/>
      <c r="F39" s="14">
        <f>'Balance sheet'!E31/F38</f>
        <v>2.84736377455209</v>
      </c>
    </row>
    <row r="40" ht="20.1" customHeight="1">
      <c r="B40" t="s" s="10">
        <v>29</v>
      </c>
      <c r="C40" s="13"/>
      <c r="D40" s="14"/>
      <c r="E40" s="14"/>
      <c r="F40" s="14">
        <f>F35/F38</f>
        <v>6.77162603308388</v>
      </c>
    </row>
    <row r="41" ht="20.1" customHeight="1">
      <c r="B41" t="s" s="10">
        <v>35</v>
      </c>
      <c r="C41" s="13"/>
      <c r="D41" s="14"/>
      <c r="E41" s="14"/>
      <c r="F41" s="14">
        <v>15</v>
      </c>
    </row>
    <row r="42" ht="20.1" customHeight="1">
      <c r="B42" t="s" s="10">
        <v>36</v>
      </c>
      <c r="C42" s="13"/>
      <c r="D42" s="14"/>
      <c r="E42" s="14"/>
      <c r="F42" s="14">
        <f>F38*F41</f>
        <v>27341.0797369038</v>
      </c>
    </row>
    <row r="43" ht="20.1" customHeight="1">
      <c r="B43" t="s" s="10">
        <v>37</v>
      </c>
      <c r="C43" s="13"/>
      <c r="D43" s="14"/>
      <c r="E43" s="14"/>
      <c r="F43" s="14">
        <f>F35/F45</f>
        <v>2.62614989105021</v>
      </c>
    </row>
    <row r="44" ht="20.1" customHeight="1">
      <c r="B44" t="s" s="10">
        <v>38</v>
      </c>
      <c r="C44" s="13"/>
      <c r="D44" s="14"/>
      <c r="E44" s="14"/>
      <c r="F44" s="14">
        <f>F42/F43</f>
        <v>10411.0888072615</v>
      </c>
    </row>
    <row r="45" ht="20.1" customHeight="1">
      <c r="B45" t="s" s="10">
        <v>39</v>
      </c>
      <c r="C45" s="13"/>
      <c r="D45" s="14"/>
      <c r="E45" s="14"/>
      <c r="F45" s="14">
        <v>4700</v>
      </c>
    </row>
    <row r="46" ht="20.1" customHeight="1">
      <c r="B46" t="s" s="10">
        <v>40</v>
      </c>
      <c r="C46" s="13"/>
      <c r="D46" s="14"/>
      <c r="E46" s="14"/>
      <c r="F46" s="16">
        <f>F44/F45-1</f>
        <v>1.21512527814074</v>
      </c>
    </row>
    <row r="47" ht="20.1" customHeight="1">
      <c r="B47" t="s" s="10">
        <v>41</v>
      </c>
      <c r="C47" s="13"/>
      <c r="D47" s="14"/>
      <c r="E47" s="14"/>
      <c r="F47" s="16">
        <f>'Sales'!C31/'Sales'!C27-1</f>
        <v>2.18687707641196</v>
      </c>
    </row>
    <row r="48" ht="20.1" customHeight="1">
      <c r="B48" t="s" s="10">
        <v>42</v>
      </c>
      <c r="C48" s="13"/>
      <c r="D48" s="14"/>
      <c r="E48" s="14"/>
      <c r="F48" s="16">
        <f>('Sales'!D26+'Sales'!D31+'Sales'!D27+'Sales'!D30+'Sales'!D28+'Sales'!D29)/('Sales'!C26+'Sales'!C27+'Sales'!C28+'Sales'!C31+'Sales'!C30+'Sales'!C29)-1</f>
        <v>-0.167265277355518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7188" style="24" customWidth="1"/>
    <col min="2" max="2" width="9.38281" style="24" customWidth="1"/>
    <col min="3" max="4" width="10.4375" style="24" customWidth="1"/>
    <col min="5" max="6" width="14.3281" style="24" customWidth="1"/>
    <col min="7" max="11" width="10.4375" style="24" customWidth="1"/>
    <col min="12" max="16384" width="16.3516" style="24" customWidth="1"/>
  </cols>
  <sheetData>
    <row r="1" ht="7.8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43</v>
      </c>
      <c r="D3" t="s" s="5">
        <v>35</v>
      </c>
      <c r="E3" t="s" s="5">
        <v>20</v>
      </c>
      <c r="F3" t="s" s="5">
        <v>44</v>
      </c>
      <c r="G3" t="s" s="5">
        <v>45</v>
      </c>
      <c r="H3" t="s" s="5">
        <v>46</v>
      </c>
      <c r="I3" t="s" s="5">
        <v>46</v>
      </c>
      <c r="J3" t="s" s="5">
        <v>35</v>
      </c>
      <c r="K3" t="s" s="5">
        <v>47</v>
      </c>
    </row>
    <row r="4" ht="20.25" customHeight="1">
      <c r="B4" s="25">
        <v>2015</v>
      </c>
      <c r="C4" s="26">
        <v>1018</v>
      </c>
      <c r="D4" s="8"/>
      <c r="E4" s="27">
        <v>52</v>
      </c>
      <c r="F4" s="27">
        <v>185</v>
      </c>
      <c r="G4" s="9"/>
      <c r="H4" s="28">
        <f>(F4+E4-C4)/C4</f>
        <v>-0.767190569744597</v>
      </c>
      <c r="I4" s="28"/>
      <c r="J4" s="28"/>
      <c r="K4" s="28"/>
    </row>
    <row r="5" ht="20.05" customHeight="1">
      <c r="B5" s="29"/>
      <c r="C5" s="30">
        <v>1489</v>
      </c>
      <c r="D5" s="22"/>
      <c r="E5" s="14">
        <v>58</v>
      </c>
      <c r="F5" s="14">
        <v>463</v>
      </c>
      <c r="G5" s="16">
        <f>C5/C4-1</f>
        <v>0.462671905697446</v>
      </c>
      <c r="H5" s="16">
        <f>(F5+E5-C5)/C5</f>
        <v>-0.650100738750839</v>
      </c>
      <c r="I5" s="16"/>
      <c r="J5" s="16"/>
      <c r="K5" s="16"/>
    </row>
    <row r="6" ht="20.05" customHeight="1">
      <c r="B6" s="29"/>
      <c r="C6" s="30">
        <v>1806</v>
      </c>
      <c r="D6" s="22"/>
      <c r="E6" s="14">
        <v>63</v>
      </c>
      <c r="F6" s="14">
        <v>736</v>
      </c>
      <c r="G6" s="16">
        <f>C6/C5-1</f>
        <v>0.212894560107455</v>
      </c>
      <c r="H6" s="16">
        <f>(F6+E6-C6)/C6</f>
        <v>-0.5575858250276849</v>
      </c>
      <c r="I6" s="16"/>
      <c r="J6" s="16"/>
      <c r="K6" s="16"/>
    </row>
    <row r="7" ht="20.05" customHeight="1">
      <c r="B7" s="29"/>
      <c r="C7" s="30">
        <v>1416</v>
      </c>
      <c r="D7" s="22"/>
      <c r="E7" s="14">
        <v>68</v>
      </c>
      <c r="F7" s="14">
        <v>397</v>
      </c>
      <c r="G7" s="16">
        <f>C7/C6-1</f>
        <v>-0.215946843853821</v>
      </c>
      <c r="H7" s="16">
        <f>(F7+E7-C7)/C7</f>
        <v>-0.671610169491525</v>
      </c>
      <c r="I7" s="16"/>
      <c r="J7" s="16"/>
      <c r="K7" s="16"/>
    </row>
    <row r="8" ht="20.05" customHeight="1">
      <c r="B8" s="31">
        <v>2016</v>
      </c>
      <c r="C8" s="30">
        <v>1204</v>
      </c>
      <c r="D8" s="22"/>
      <c r="E8" s="14">
        <v>60</v>
      </c>
      <c r="F8" s="14">
        <v>244</v>
      </c>
      <c r="G8" s="16">
        <f>C8/C7-1</f>
        <v>-0.149717514124294</v>
      </c>
      <c r="H8" s="16">
        <f>(F8+E8-C8)/C8</f>
        <v>-0.747508305647841</v>
      </c>
      <c r="I8" s="16"/>
      <c r="J8" s="16"/>
      <c r="K8" s="16">
        <f>('Cashflow'!D8+'Cashflow'!F8-'Cashflow'!C8)/'Cashflow'!C8</f>
        <v>-1.05546311702718</v>
      </c>
    </row>
    <row r="9" ht="20.05" customHeight="1">
      <c r="B9" s="29"/>
      <c r="C9" s="30">
        <v>2171</v>
      </c>
      <c r="D9" s="22"/>
      <c r="E9" s="14">
        <v>65</v>
      </c>
      <c r="F9" s="14">
        <v>913</v>
      </c>
      <c r="G9" s="16">
        <f>C9/C8-1</f>
        <v>0.803156146179402</v>
      </c>
      <c r="H9" s="16">
        <f>(F9+E9-C9)/C9</f>
        <v>-0.549516351911561</v>
      </c>
      <c r="I9" s="16"/>
      <c r="J9" s="16"/>
      <c r="K9" s="16">
        <f>('Cashflow'!D9+'Cashflow'!F9-'Cashflow'!C9)/'Cashflow'!C9</f>
        <v>-0.573437749720313</v>
      </c>
    </row>
    <row r="10" ht="20.05" customHeight="1">
      <c r="B10" s="29"/>
      <c r="C10" s="30">
        <v>1494</v>
      </c>
      <c r="D10" s="22"/>
      <c r="E10" s="14">
        <v>67</v>
      </c>
      <c r="F10" s="14">
        <v>453</v>
      </c>
      <c r="G10" s="16">
        <f>C10/C9-1</f>
        <v>-0.311837862736066</v>
      </c>
      <c r="H10" s="16">
        <f>(F10+E10-C10)/C10</f>
        <v>-0.65194109772423</v>
      </c>
      <c r="I10" s="16"/>
      <c r="J10" s="16"/>
      <c r="K10" s="16">
        <f>('Cashflow'!D10+'Cashflow'!F10-'Cashflow'!C10)/'Cashflow'!C10</f>
        <v>-1.23075250108743</v>
      </c>
    </row>
    <row r="11" ht="20.05" customHeight="1">
      <c r="B11" s="29"/>
      <c r="C11" s="30">
        <v>1563</v>
      </c>
      <c r="D11" s="22"/>
      <c r="E11" s="14">
        <v>69</v>
      </c>
      <c r="F11" s="14">
        <v>410</v>
      </c>
      <c r="G11" s="16">
        <f>C11/C10-1</f>
        <v>0.0461847389558233</v>
      </c>
      <c r="H11" s="16">
        <f>(F11+E11-C11)/C11</f>
        <v>-0.693538067818298</v>
      </c>
      <c r="I11" s="16"/>
      <c r="J11" s="16"/>
      <c r="K11" s="16">
        <f>('Cashflow'!D11+'Cashflow'!F11-'Cashflow'!C11)/'Cashflow'!C11</f>
        <v>-0.758110167646418</v>
      </c>
    </row>
    <row r="12" ht="20.05" customHeight="1">
      <c r="B12" s="31">
        <v>2017</v>
      </c>
      <c r="C12" s="30">
        <v>1197</v>
      </c>
      <c r="D12" s="22"/>
      <c r="E12" s="14">
        <v>68</v>
      </c>
      <c r="F12" s="14">
        <v>244</v>
      </c>
      <c r="G12" s="16">
        <f>C12/C11-1</f>
        <v>-0.234165067178503</v>
      </c>
      <c r="H12" s="16">
        <f>(F12+E12-C12)/C12</f>
        <v>-0.739348370927318</v>
      </c>
      <c r="I12" s="16">
        <f>AVERAGE(H9:H12)</f>
        <v>-0.658585972095352</v>
      </c>
      <c r="J12" s="16"/>
      <c r="K12" s="16">
        <f>('Cashflow'!D12+'Cashflow'!F12-'Cashflow'!C12)/'Cashflow'!C12</f>
        <v>-1.12930547713156</v>
      </c>
    </row>
    <row r="13" ht="20.05" customHeight="1">
      <c r="B13" s="29"/>
      <c r="C13" s="30">
        <v>2535</v>
      </c>
      <c r="D13" s="22"/>
      <c r="E13" s="14">
        <v>72</v>
      </c>
      <c r="F13" s="14">
        <v>1094</v>
      </c>
      <c r="G13" s="16">
        <f>C13/C12-1</f>
        <v>1.11779448621554</v>
      </c>
      <c r="H13" s="16">
        <f>(F13+E13-C13)/C13</f>
        <v>-0.5400394477317551</v>
      </c>
      <c r="I13" s="16">
        <f>AVERAGE(H10:H13)</f>
        <v>-0.6562167460504</v>
      </c>
      <c r="J13" s="16"/>
      <c r="K13" s="16">
        <f>('Cashflow'!D13+'Cashflow'!F13-'Cashflow'!C13)/'Cashflow'!C13</f>
        <v>-0.556385869565217</v>
      </c>
    </row>
    <row r="14" ht="20.05" customHeight="1">
      <c r="B14" s="29"/>
      <c r="C14" s="30">
        <v>1166</v>
      </c>
      <c r="D14" s="22"/>
      <c r="E14" s="14">
        <v>74</v>
      </c>
      <c r="F14" s="14">
        <v>167</v>
      </c>
      <c r="G14" s="16">
        <f>C14/C13-1</f>
        <v>-0.5400394477317551</v>
      </c>
      <c r="H14" s="16">
        <f>(F14+E14-C14)/C14</f>
        <v>-0.793310463121784</v>
      </c>
      <c r="I14" s="16">
        <f>AVERAGE(H11:H14)</f>
        <v>-0.691559087399789</v>
      </c>
      <c r="J14" s="16"/>
      <c r="K14" s="16">
        <f>('Cashflow'!D14+'Cashflow'!F14-'Cashflow'!C14)/'Cashflow'!C14</f>
        <v>-1.53157290470723</v>
      </c>
    </row>
    <row r="15" ht="20.05" customHeight="1">
      <c r="B15" s="29"/>
      <c r="C15" s="30">
        <v>1630</v>
      </c>
      <c r="D15" s="22"/>
      <c r="E15" s="14">
        <v>79</v>
      </c>
      <c r="F15" s="14">
        <v>402</v>
      </c>
      <c r="G15" s="16">
        <f>C15/C14-1</f>
        <v>0.397941680960549</v>
      </c>
      <c r="H15" s="16">
        <f>(F15+E15-C15)/C15</f>
        <v>-0.704907975460123</v>
      </c>
      <c r="I15" s="16">
        <f>AVERAGE(H12:H15)</f>
        <v>-0.694401564310245</v>
      </c>
      <c r="J15" s="16"/>
      <c r="K15" s="16">
        <f>('Cashflow'!D15+'Cashflow'!F15-'Cashflow'!C15)/'Cashflow'!C15</f>
        <v>-0.743134420813545</v>
      </c>
    </row>
    <row r="16" ht="20.05" customHeight="1">
      <c r="B16" s="31">
        <v>2018</v>
      </c>
      <c r="C16" s="30">
        <v>1281</v>
      </c>
      <c r="D16" s="22"/>
      <c r="E16" s="14">
        <v>70</v>
      </c>
      <c r="F16" s="14">
        <v>247</v>
      </c>
      <c r="G16" s="16">
        <f>C16/C15-1</f>
        <v>-0.214110429447853</v>
      </c>
      <c r="H16" s="16">
        <f>(F16+E16-C16)/C16</f>
        <v>-0.752537080405933</v>
      </c>
      <c r="I16" s="16">
        <f>AVERAGE(H13:H16)</f>
        <v>-0.697698741679899</v>
      </c>
      <c r="J16" s="16"/>
      <c r="K16" s="16">
        <f>('Cashflow'!D16+'Cashflow'!F16-'Cashflow'!C16)/'Cashflow'!C16</f>
        <v>-1.10930110352076</v>
      </c>
    </row>
    <row r="17" ht="20.05" customHeight="1">
      <c r="B17" s="29"/>
      <c r="C17" s="30">
        <v>2553</v>
      </c>
      <c r="D17" s="22"/>
      <c r="E17" s="14">
        <v>74</v>
      </c>
      <c r="F17" s="14">
        <v>1098</v>
      </c>
      <c r="G17" s="16">
        <f>C17/C16-1</f>
        <v>0.992974238875878</v>
      </c>
      <c r="H17" s="16">
        <f>(F17+E17-C17)/C17</f>
        <v>-0.54093223658441</v>
      </c>
      <c r="I17" s="16">
        <f>AVERAGE(H14:H17)</f>
        <v>-0.697921938893063</v>
      </c>
      <c r="J17" s="16"/>
      <c r="K17" s="16">
        <f>('Cashflow'!D17+'Cashflow'!F17-'Cashflow'!C17)/'Cashflow'!C17</f>
        <v>-0.624399359316604</v>
      </c>
    </row>
    <row r="18" ht="20.05" customHeight="1">
      <c r="B18" s="29"/>
      <c r="C18" s="30">
        <v>1220</v>
      </c>
      <c r="D18" s="22"/>
      <c r="E18" s="14">
        <v>81</v>
      </c>
      <c r="F18" s="14">
        <v>151</v>
      </c>
      <c r="G18" s="16">
        <f>C18/C17-1</f>
        <v>-0.5221308264786531</v>
      </c>
      <c r="H18" s="16">
        <f>(F18+E18-C18)/C18</f>
        <v>-0.80983606557377</v>
      </c>
      <c r="I18" s="16">
        <f>AVERAGE(H15:H18)</f>
        <v>-0.702053339506059</v>
      </c>
      <c r="J18" s="16"/>
      <c r="K18" s="16">
        <f>('Cashflow'!D18+'Cashflow'!F18-'Cashflow'!C18)/'Cashflow'!C18</f>
        <v>-1.45238768013563</v>
      </c>
    </row>
    <row r="19" ht="20.05" customHeight="1">
      <c r="B19" s="29"/>
      <c r="C19" s="30">
        <v>1607</v>
      </c>
      <c r="D19" s="22"/>
      <c r="E19" s="14">
        <v>83</v>
      </c>
      <c r="F19" s="14">
        <v>-399</v>
      </c>
      <c r="G19" s="16">
        <f>C19/C18-1</f>
        <v>0.317213114754098</v>
      </c>
      <c r="H19" s="16">
        <f>(F19+E19-C19)/C19</f>
        <v>-1.19663970130678</v>
      </c>
      <c r="I19" s="16">
        <f>AVERAGE(H16:H19)</f>
        <v>-0.824986270967723</v>
      </c>
      <c r="J19" s="16"/>
      <c r="K19" s="16">
        <f>('Cashflow'!D19+'Cashflow'!F19-'Cashflow'!C19)/'Cashflow'!C19</f>
        <v>-0.762827117247064</v>
      </c>
    </row>
    <row r="20" ht="20.05" customHeight="1">
      <c r="B20" s="31">
        <v>2019</v>
      </c>
      <c r="C20" s="30">
        <v>1257</v>
      </c>
      <c r="D20" s="22"/>
      <c r="E20" s="14">
        <v>76.7</v>
      </c>
      <c r="F20" s="14">
        <v>143</v>
      </c>
      <c r="G20" s="16">
        <f>C20/C19-1</f>
        <v>-0.217797137523335</v>
      </c>
      <c r="H20" s="16">
        <f>(F20+E20-C20)/C20</f>
        <v>-0.82521877486078</v>
      </c>
      <c r="I20" s="16">
        <f>AVERAGE(H17:H20)</f>
        <v>-0.8431566945814351</v>
      </c>
      <c r="J20" s="16"/>
      <c r="K20" s="16">
        <f>('Cashflow'!D20+'Cashflow'!F20-'Cashflow'!C20)/'Cashflow'!C20</f>
        <v>-1.15900486749594</v>
      </c>
    </row>
    <row r="21" ht="20.05" customHeight="1">
      <c r="B21" s="29"/>
      <c r="C21" s="30">
        <v>2550</v>
      </c>
      <c r="D21" s="22"/>
      <c r="E21" s="14">
        <v>85.3</v>
      </c>
      <c r="F21" s="14">
        <v>1019</v>
      </c>
      <c r="G21" s="16">
        <f>C21/C20-1</f>
        <v>1.02863961813842</v>
      </c>
      <c r="H21" s="16">
        <f>(F21+E21-C21)/C21</f>
        <v>-0.5669411764705879</v>
      </c>
      <c r="I21" s="16">
        <f>AVERAGE(H18:H21)</f>
        <v>-0.8496589295529799</v>
      </c>
      <c r="J21" s="16"/>
      <c r="K21" s="16">
        <f>('Cashflow'!D21+'Cashflow'!F21-'Cashflow'!C21)/'Cashflow'!C21</f>
        <v>-0.7799741602067179</v>
      </c>
    </row>
    <row r="22" ht="20.05" customHeight="1">
      <c r="B22" s="29"/>
      <c r="C22" s="30">
        <v>1220</v>
      </c>
      <c r="D22" s="22"/>
      <c r="E22" s="14">
        <v>99</v>
      </c>
      <c r="F22" s="14">
        <v>25</v>
      </c>
      <c r="G22" s="16">
        <f>C22/C21-1</f>
        <v>-0.52156862745098</v>
      </c>
      <c r="H22" s="16">
        <f>(F22+E22-C22)/C22</f>
        <v>-0.898360655737705</v>
      </c>
      <c r="I22" s="16">
        <f>AVERAGE(H19:H22)</f>
        <v>-0.8717900770939629</v>
      </c>
      <c r="J22" s="16"/>
      <c r="K22" s="16">
        <f>('Cashflow'!D22+'Cashflow'!F22-'Cashflow'!C22)/'Cashflow'!C22</f>
        <v>-1.0992637032997</v>
      </c>
    </row>
    <row r="23" ht="20.05" customHeight="1">
      <c r="B23" s="29"/>
      <c r="C23" s="30">
        <v>1532</v>
      </c>
      <c r="D23" s="22"/>
      <c r="E23" s="14">
        <v>57</v>
      </c>
      <c r="F23" s="14">
        <v>180</v>
      </c>
      <c r="G23" s="16">
        <f>C23/C22-1</f>
        <v>0.255737704918033</v>
      </c>
      <c r="H23" s="16">
        <f>(F23+E23-C23)/C23</f>
        <v>-0.8453002610966061</v>
      </c>
      <c r="I23" s="16">
        <f>AVERAGE(H20:H23)</f>
        <v>-0.78395521704142</v>
      </c>
      <c r="J23" s="16"/>
      <c r="K23" s="16">
        <f>('Cashflow'!D23+'Cashflow'!F23-'Cashflow'!C23)/'Cashflow'!C23</f>
        <v>-0.771056977704377</v>
      </c>
    </row>
    <row r="24" ht="20.05" customHeight="1">
      <c r="B24" s="31">
        <v>2020</v>
      </c>
      <c r="C24" s="30">
        <v>977</v>
      </c>
      <c r="D24" s="22"/>
      <c r="E24" s="14">
        <v>75.8</v>
      </c>
      <c r="F24" s="14">
        <v>-94</v>
      </c>
      <c r="G24" s="16">
        <f>C24/C23-1</f>
        <v>-0.362271540469974</v>
      </c>
      <c r="H24" s="16">
        <f>(F24+E24-C24)/C24</f>
        <v>-1.01862845445241</v>
      </c>
      <c r="I24" s="16">
        <f>AVERAGE(H21:H24)</f>
        <v>-0.832307636939327</v>
      </c>
      <c r="J24" s="16"/>
      <c r="K24" s="16">
        <f>('Cashflow'!D24+'Cashflow'!F24-'Cashflow'!C24)/'Cashflow'!C24</f>
        <v>-1.3121714848883</v>
      </c>
    </row>
    <row r="25" ht="20.05" customHeight="1">
      <c r="B25" s="29"/>
      <c r="C25" s="30">
        <v>467</v>
      </c>
      <c r="D25" s="22"/>
      <c r="E25" s="14">
        <v>71.2</v>
      </c>
      <c r="F25" s="14">
        <v>-264</v>
      </c>
      <c r="G25" s="16">
        <f>C25/C24-1</f>
        <v>-0.522006141248721</v>
      </c>
      <c r="H25" s="16">
        <f>(F25+E25-C25)/C25</f>
        <v>-1.41284796573876</v>
      </c>
      <c r="I25" s="16">
        <f>AVERAGE(H22:H25)</f>
        <v>-1.04378433425637</v>
      </c>
      <c r="J25" s="16"/>
      <c r="K25" s="16">
        <f>('Cashflow'!D25+'Cashflow'!F25-'Cashflow'!C25)/'Cashflow'!C25</f>
        <v>-1.31713313161876</v>
      </c>
    </row>
    <row r="26" ht="20.05" customHeight="1">
      <c r="B26" s="29"/>
      <c r="C26" s="30">
        <v>687</v>
      </c>
      <c r="D26" s="21">
        <v>854</v>
      </c>
      <c r="E26" s="14">
        <v>74</v>
      </c>
      <c r="F26" s="14">
        <v>-259</v>
      </c>
      <c r="G26" s="16">
        <f>C26/C25-1</f>
        <v>0.471092077087794</v>
      </c>
      <c r="H26" s="16">
        <f>(F26+E26-C26)/C26</f>
        <v>-1.26928675400291</v>
      </c>
      <c r="I26" s="16">
        <f>AVERAGE(H23:H26)</f>
        <v>-1.13651585882267</v>
      </c>
      <c r="J26" s="16"/>
      <c r="K26" s="16">
        <f>('Cashflow'!D26+'Cashflow'!F26-'Cashflow'!C26)/'Cashflow'!C26</f>
        <v>-0.886257582827811</v>
      </c>
    </row>
    <row r="27" ht="20.05" customHeight="1">
      <c r="B27" s="29"/>
      <c r="C27" s="30">
        <f>3094.2-SUM(C24:C26)</f>
        <v>963.2</v>
      </c>
      <c r="D27" s="21">
        <v>1031</v>
      </c>
      <c r="E27" s="14">
        <v>72</v>
      </c>
      <c r="F27" s="14">
        <v>-256.2</v>
      </c>
      <c r="G27" s="16">
        <f>C27/C26-1</f>
        <v>0.402037845705968</v>
      </c>
      <c r="H27" s="16">
        <f>(F27+E27-C27)/C27</f>
        <v>-1.19123754152824</v>
      </c>
      <c r="I27" s="16">
        <f>AVERAGE(H24:H27)</f>
        <v>-1.22300017893058</v>
      </c>
      <c r="J27" s="16"/>
      <c r="K27" s="16">
        <f>('Cashflow'!D27+'Cashflow'!F27-'Cashflow'!C27)/'Cashflow'!C27</f>
        <v>-0.629305166199439</v>
      </c>
    </row>
    <row r="28" ht="20.05" customHeight="1">
      <c r="B28" s="31">
        <v>2021</v>
      </c>
      <c r="C28" s="20">
        <v>741</v>
      </c>
      <c r="D28" s="21">
        <v>963.2</v>
      </c>
      <c r="E28" s="14">
        <v>76</v>
      </c>
      <c r="F28" s="14">
        <v>-96</v>
      </c>
      <c r="G28" s="16">
        <f>C28/C27-1</f>
        <v>-0.230689368770764</v>
      </c>
      <c r="H28" s="16">
        <f>(F28+E28-C28)/C28</f>
        <v>-1.02699055330634</v>
      </c>
      <c r="I28" s="16">
        <f>AVERAGE(H25:H28)</f>
        <v>-1.22509070364406</v>
      </c>
      <c r="J28" s="16"/>
      <c r="K28" s="16">
        <f>('Cashflow'!D28+'Cashflow'!F28-'Cashflow'!C28)/'Cashflow'!C28</f>
        <v>-0.768050151318634</v>
      </c>
    </row>
    <row r="29" ht="20.05" customHeight="1">
      <c r="B29" s="29"/>
      <c r="C29" s="30">
        <f>2196.7-C28</f>
        <v>1455.7</v>
      </c>
      <c r="D29" s="21">
        <v>1482</v>
      </c>
      <c r="E29" s="14">
        <f>426.7-E28</f>
        <v>350.7</v>
      </c>
      <c r="F29" s="14">
        <f>532.5-F28</f>
        <v>628.5</v>
      </c>
      <c r="G29" s="16">
        <f>C29/C28-1</f>
        <v>0.964507422402159</v>
      </c>
      <c r="H29" s="16">
        <f>(F29+E29-C29)/C29</f>
        <v>-0.327333928694099</v>
      </c>
      <c r="I29" s="16">
        <f>AVERAGE(H26:H29)</f>
        <v>-0.953712194382897</v>
      </c>
      <c r="J29" s="16"/>
      <c r="K29" s="16">
        <f>('Cashflow'!D29+'Cashflow'!F29-'Cashflow'!C29)/'Cashflow'!C29</f>
        <v>-0.741968744313932</v>
      </c>
    </row>
    <row r="30" ht="20.05" customHeight="1">
      <c r="B30" s="29"/>
      <c r="C30" s="30">
        <f>2516.4-SUM(C28:C29)</f>
        <v>319.7</v>
      </c>
      <c r="D30" s="14">
        <v>800.635</v>
      </c>
      <c r="E30" s="14">
        <f>656.3-SUM(E28:E29)</f>
        <v>229.6</v>
      </c>
      <c r="F30" s="14">
        <f>438.7-SUM(F28:F29)</f>
        <v>-93.8</v>
      </c>
      <c r="G30" s="16">
        <f>C30/C29-1</f>
        <v>-0.780380572920245</v>
      </c>
      <c r="H30" s="16">
        <f>(F30+E30-C30)/C30</f>
        <v>-0.575226775101658</v>
      </c>
      <c r="I30" s="16">
        <f>AVERAGE(H27:H30)</f>
        <v>-0.7801971996575841</v>
      </c>
      <c r="J30" s="16"/>
      <c r="K30" s="16">
        <f>('Cashflow'!D30+'Cashflow'!F30-'Cashflow'!C30)/'Cashflow'!C30</f>
        <v>-1.32593157342991</v>
      </c>
    </row>
    <row r="31" ht="20.05" customHeight="1">
      <c r="B31" s="29"/>
      <c r="C31" s="30">
        <f>5586-C30-C29-C28</f>
        <v>3069.6</v>
      </c>
      <c r="D31" s="21">
        <v>895</v>
      </c>
      <c r="E31" s="14">
        <f>895-E30-E29-E28</f>
        <v>238.7</v>
      </c>
      <c r="F31" s="14">
        <f>913-F30-F29-F28</f>
        <v>474.3</v>
      </c>
      <c r="G31" s="16">
        <f>C31/C30-1</f>
        <v>8.6015014075696</v>
      </c>
      <c r="H31" s="16">
        <f>(F31+E31-C31)/C31</f>
        <v>-0.76772217878551</v>
      </c>
      <c r="I31" s="16">
        <f>AVERAGE(H28:H31)</f>
        <v>-0.674318358971902</v>
      </c>
      <c r="J31" s="16">
        <f>I31</f>
        <v>-0.674318358971902</v>
      </c>
      <c r="K31" s="16">
        <f>('Cashflow'!D31+'Cashflow'!F31-'Cashflow'!C31)/'Cashflow'!C31</f>
        <v>-0.696501785478111</v>
      </c>
    </row>
    <row r="32" ht="20.05" customHeight="1">
      <c r="B32" s="31">
        <v>2022</v>
      </c>
      <c r="C32" s="30"/>
      <c r="D32" s="14">
        <f>'Model'!C6</f>
        <v>2148.72</v>
      </c>
      <c r="E32" s="14"/>
      <c r="F32" s="14"/>
      <c r="G32" s="12"/>
      <c r="H32" s="22"/>
      <c r="I32" s="12"/>
      <c r="J32" s="16">
        <f>'Model'!C7</f>
        <v>-0.674318358971902</v>
      </c>
      <c r="K32" s="12"/>
    </row>
    <row r="33" ht="20.05" customHeight="1">
      <c r="B33" s="29"/>
      <c r="C33" s="30"/>
      <c r="D33" s="14">
        <f>'Model'!D6</f>
        <v>2363.592</v>
      </c>
      <c r="E33" s="22"/>
      <c r="F33" s="22"/>
      <c r="G33" s="12"/>
      <c r="H33" s="16"/>
      <c r="I33" s="12"/>
      <c r="J33" s="12"/>
      <c r="K33" s="12"/>
    </row>
    <row r="34" ht="20.05" customHeight="1">
      <c r="B34" s="29"/>
      <c r="C34" s="30"/>
      <c r="D34" s="14">
        <f>'Model'!E6</f>
        <v>2127.2328</v>
      </c>
      <c r="E34" s="22"/>
      <c r="F34" s="22"/>
      <c r="G34" s="12"/>
      <c r="H34" s="16"/>
      <c r="I34" s="12"/>
      <c r="J34" s="12"/>
      <c r="K34" s="12"/>
    </row>
    <row r="35" ht="20.05" customHeight="1">
      <c r="B35" s="29"/>
      <c r="C35" s="30"/>
      <c r="D35" s="14">
        <f>'Model'!F6</f>
        <v>2552.67936</v>
      </c>
      <c r="E35" s="22"/>
      <c r="F35" s="22"/>
      <c r="G35" s="12"/>
      <c r="H35" s="16"/>
      <c r="I35" s="12"/>
      <c r="J35" s="12"/>
      <c r="K35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8125" style="32" customWidth="1"/>
    <col min="2" max="2" width="8.27344" style="32" customWidth="1"/>
    <col min="3" max="3" width="11.1484" style="32" customWidth="1"/>
    <col min="4" max="4" width="10.8047" style="32" customWidth="1"/>
    <col min="5" max="5" width="10.6172" style="32" customWidth="1"/>
    <col min="6" max="7" width="10.8047" style="32" customWidth="1"/>
    <col min="8" max="15" width="9.92188" style="32" customWidth="1"/>
    <col min="16" max="16384" width="16.3516" style="32" customWidth="1"/>
  </cols>
  <sheetData>
    <row r="1" ht="43.2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48</v>
      </c>
      <c r="D3" t="s" s="5">
        <v>49</v>
      </c>
      <c r="E3" t="s" s="5">
        <v>50</v>
      </c>
      <c r="F3" t="s" s="5">
        <v>51</v>
      </c>
      <c r="G3" t="s" s="5">
        <v>10</v>
      </c>
      <c r="H3" t="s" s="5">
        <v>12</v>
      </c>
      <c r="I3" t="s" s="5">
        <v>26</v>
      </c>
      <c r="J3" t="s" s="5">
        <v>11</v>
      </c>
      <c r="K3" t="s" s="5">
        <v>52</v>
      </c>
      <c r="L3" t="s" s="5">
        <v>3</v>
      </c>
      <c r="M3" t="s" s="5">
        <v>35</v>
      </c>
      <c r="N3" t="s" s="5">
        <v>53</v>
      </c>
      <c r="O3" t="s" s="5">
        <v>35</v>
      </c>
    </row>
    <row r="4" ht="20.25" customHeight="1">
      <c r="B4" s="25">
        <v>2015</v>
      </c>
      <c r="C4" s="33">
        <v>3172</v>
      </c>
      <c r="D4" s="27">
        <v>-237</v>
      </c>
      <c r="E4" s="27">
        <v>-117</v>
      </c>
      <c r="F4" s="27">
        <v>-13</v>
      </c>
      <c r="G4" s="27"/>
      <c r="H4" s="27"/>
      <c r="I4" s="27"/>
      <c r="J4" s="27">
        <v>-13</v>
      </c>
      <c r="K4" s="27">
        <f>SUM(D4:F4)</f>
        <v>-367</v>
      </c>
      <c r="L4" s="27"/>
      <c r="M4" s="27"/>
      <c r="N4" s="27">
        <f>-(J4-F4)</f>
        <v>0</v>
      </c>
      <c r="O4" s="27"/>
    </row>
    <row r="5" ht="20.05" customHeight="1">
      <c r="B5" s="29"/>
      <c r="C5" s="13">
        <v>4349</v>
      </c>
      <c r="D5" s="14">
        <v>1182</v>
      </c>
      <c r="E5" s="14">
        <v>-180</v>
      </c>
      <c r="F5" s="14">
        <v>-20</v>
      </c>
      <c r="G5" s="14"/>
      <c r="H5" s="14"/>
      <c r="I5" s="14"/>
      <c r="J5" s="14">
        <v>-728</v>
      </c>
      <c r="K5" s="14">
        <f>SUM(D5:F5)</f>
        <v>982</v>
      </c>
      <c r="L5" s="14"/>
      <c r="M5" s="14"/>
      <c r="N5" s="14">
        <f>-(J5-F5)+N4</f>
        <v>708</v>
      </c>
      <c r="O5" s="14"/>
    </row>
    <row r="6" ht="20.05" customHeight="1">
      <c r="B6" s="29"/>
      <c r="C6" s="13">
        <v>5778</v>
      </c>
      <c r="D6" s="14">
        <v>225</v>
      </c>
      <c r="E6" s="14">
        <v>-97</v>
      </c>
      <c r="F6" s="14">
        <v>-17</v>
      </c>
      <c r="G6" s="14"/>
      <c r="H6" s="14"/>
      <c r="I6" s="14"/>
      <c r="J6" s="14">
        <v>-161</v>
      </c>
      <c r="K6" s="14">
        <f>SUM(D6:F6)</f>
        <v>111</v>
      </c>
      <c r="L6" s="14"/>
      <c r="M6" s="14"/>
      <c r="N6" s="14">
        <f>-(J6-F6)+N5</f>
        <v>852</v>
      </c>
      <c r="O6" s="14"/>
    </row>
    <row r="7" ht="20.05" customHeight="1">
      <c r="B7" s="29"/>
      <c r="C7" s="13">
        <v>4368</v>
      </c>
      <c r="D7" s="14">
        <v>1079</v>
      </c>
      <c r="E7" s="14">
        <v>-69</v>
      </c>
      <c r="F7" s="14">
        <v>-24</v>
      </c>
      <c r="G7" s="14"/>
      <c r="H7" s="14"/>
      <c r="I7" s="14"/>
      <c r="J7" s="14">
        <v>-723</v>
      </c>
      <c r="K7" s="14">
        <f>SUM(D7:F7)</f>
        <v>986</v>
      </c>
      <c r="L7" s="14"/>
      <c r="M7" s="14"/>
      <c r="N7" s="14">
        <f>-(J7-F7)+N6</f>
        <v>1551</v>
      </c>
      <c r="O7" s="14"/>
    </row>
    <row r="8" ht="20.05" customHeight="1">
      <c r="B8" s="31">
        <v>2016</v>
      </c>
      <c r="C8" s="13">
        <v>3606</v>
      </c>
      <c r="D8" s="14">
        <v>-194</v>
      </c>
      <c r="E8" s="14">
        <v>-211</v>
      </c>
      <c r="F8" s="14">
        <v>-6</v>
      </c>
      <c r="G8" s="14"/>
      <c r="H8" s="14"/>
      <c r="I8" s="14"/>
      <c r="J8" s="14">
        <v>-6</v>
      </c>
      <c r="K8" s="14">
        <f>SUM(D8:F8)</f>
        <v>-411</v>
      </c>
      <c r="L8" s="14">
        <f>AVERAGE(K5:K8)</f>
        <v>417</v>
      </c>
      <c r="M8" s="14"/>
      <c r="N8" s="14">
        <f>-(J8-F8)+N7</f>
        <v>1551</v>
      </c>
      <c r="O8" s="14"/>
    </row>
    <row r="9" ht="20.05" customHeight="1">
      <c r="B9" s="29"/>
      <c r="C9" s="13">
        <v>6257</v>
      </c>
      <c r="D9" s="14">
        <v>2670</v>
      </c>
      <c r="E9" s="14">
        <v>-155</v>
      </c>
      <c r="F9" s="14">
        <v>-1</v>
      </c>
      <c r="G9" s="14"/>
      <c r="H9" s="14"/>
      <c r="I9" s="14"/>
      <c r="J9" s="14">
        <v>-1248</v>
      </c>
      <c r="K9" s="14">
        <f>SUM(D9:F9)</f>
        <v>2514</v>
      </c>
      <c r="L9" s="14">
        <f>AVERAGE(K6:K9)</f>
        <v>800</v>
      </c>
      <c r="M9" s="14"/>
      <c r="N9" s="14">
        <f>-(J9-F9)+N8</f>
        <v>2798</v>
      </c>
      <c r="O9" s="14"/>
    </row>
    <row r="10" ht="20.05" customHeight="1">
      <c r="B10" s="29"/>
      <c r="C10" s="13">
        <v>4598</v>
      </c>
      <c r="D10" s="14">
        <v>-1061</v>
      </c>
      <c r="E10" s="14">
        <v>-71</v>
      </c>
      <c r="F10" s="14">
        <v>0</v>
      </c>
      <c r="G10" s="14"/>
      <c r="H10" s="14"/>
      <c r="I10" s="14"/>
      <c r="J10" s="14">
        <v>0</v>
      </c>
      <c r="K10" s="14">
        <f>SUM(D10:F10)</f>
        <v>-1132</v>
      </c>
      <c r="L10" s="14">
        <f>AVERAGE(K7:K10)</f>
        <v>489.25</v>
      </c>
      <c r="M10" s="14"/>
      <c r="N10" s="14">
        <f>-(J10-F10)+N9</f>
        <v>2798</v>
      </c>
      <c r="O10" s="14"/>
    </row>
    <row r="11" ht="20.05" customHeight="1">
      <c r="B11" s="29"/>
      <c r="C11" s="13">
        <v>4593</v>
      </c>
      <c r="D11" s="14">
        <v>1116</v>
      </c>
      <c r="E11" s="14">
        <v>-70</v>
      </c>
      <c r="F11" s="14">
        <v>-5</v>
      </c>
      <c r="G11" s="14"/>
      <c r="H11" s="14"/>
      <c r="I11" s="14"/>
      <c r="J11" s="14">
        <v>-5</v>
      </c>
      <c r="K11" s="14">
        <f>SUM(D11:F11)</f>
        <v>1041</v>
      </c>
      <c r="L11" s="14">
        <f>AVERAGE(K8:K11)</f>
        <v>503</v>
      </c>
      <c r="M11" s="14"/>
      <c r="N11" s="14">
        <f>-(J11-F11)+N10</f>
        <v>2798</v>
      </c>
      <c r="O11" s="14"/>
    </row>
    <row r="12" ht="20.05" customHeight="1">
      <c r="B12" s="31">
        <v>2017</v>
      </c>
      <c r="C12" s="13">
        <v>3542</v>
      </c>
      <c r="D12" s="14">
        <v>-457</v>
      </c>
      <c r="E12" s="14">
        <v>-251</v>
      </c>
      <c r="F12" s="14">
        <v>-1</v>
      </c>
      <c r="G12" s="14"/>
      <c r="H12" s="14"/>
      <c r="I12" s="14">
        <v>-353.5</v>
      </c>
      <c r="J12" s="14">
        <v>-1</v>
      </c>
      <c r="K12" s="14">
        <f>SUM(D12:F12)</f>
        <v>-709</v>
      </c>
      <c r="L12" s="14">
        <f>AVERAGE(K9:K12)</f>
        <v>428.5</v>
      </c>
      <c r="M12" s="14"/>
      <c r="N12" s="14">
        <f>-(J12-F12)+N11</f>
        <v>2798</v>
      </c>
      <c r="O12" s="14"/>
    </row>
    <row r="13" ht="20.05" customHeight="1">
      <c r="B13" s="29"/>
      <c r="C13" s="13">
        <v>7360</v>
      </c>
      <c r="D13" s="14">
        <v>3274</v>
      </c>
      <c r="E13" s="14">
        <v>-307</v>
      </c>
      <c r="F13" s="14">
        <v>-9</v>
      </c>
      <c r="G13" s="14"/>
      <c r="H13" s="14"/>
      <c r="I13" s="14">
        <v>-353.5</v>
      </c>
      <c r="J13" s="14">
        <v>-1423</v>
      </c>
      <c r="K13" s="14">
        <f>SUM(D13:F13)</f>
        <v>2958</v>
      </c>
      <c r="L13" s="14">
        <f>AVERAGE(K10:K13)</f>
        <v>539.5</v>
      </c>
      <c r="M13" s="14"/>
      <c r="N13" s="14">
        <f>-(J13-F13)+N12</f>
        <v>4212</v>
      </c>
      <c r="O13" s="14"/>
    </row>
    <row r="14" ht="20.05" customHeight="1">
      <c r="B14" s="29"/>
      <c r="C14" s="13">
        <v>3484</v>
      </c>
      <c r="D14" s="14">
        <v>-1850</v>
      </c>
      <c r="E14" s="14">
        <v>-103</v>
      </c>
      <c r="F14" s="14">
        <v>-2</v>
      </c>
      <c r="G14" s="14"/>
      <c r="H14" s="14"/>
      <c r="I14" s="14">
        <v>-353.5</v>
      </c>
      <c r="J14" s="14">
        <v>-2</v>
      </c>
      <c r="K14" s="14">
        <f>SUM(D14:F14)</f>
        <v>-1955</v>
      </c>
      <c r="L14" s="14">
        <f>AVERAGE(K11:K14)</f>
        <v>333.75</v>
      </c>
      <c r="M14" s="14"/>
      <c r="N14" s="14">
        <f>-(J14-F14)+N13</f>
        <v>4212</v>
      </c>
      <c r="O14" s="14"/>
    </row>
    <row r="15" ht="20.05" customHeight="1">
      <c r="B15" s="29"/>
      <c r="C15" s="13">
        <v>4843</v>
      </c>
      <c r="D15" s="14">
        <v>1247</v>
      </c>
      <c r="E15" s="14">
        <v>-253</v>
      </c>
      <c r="F15" s="14">
        <v>-3</v>
      </c>
      <c r="G15" s="14"/>
      <c r="H15" s="14"/>
      <c r="I15" s="14">
        <v>-353.5</v>
      </c>
      <c r="J15" s="14">
        <v>-3</v>
      </c>
      <c r="K15" s="14">
        <f>SUM(D15:F15)</f>
        <v>991</v>
      </c>
      <c r="L15" s="14">
        <f>AVERAGE(K12:K15)</f>
        <v>321.25</v>
      </c>
      <c r="M15" s="14"/>
      <c r="N15" s="14">
        <f>-(J15-F15)+N14</f>
        <v>4212</v>
      </c>
      <c r="O15" s="14"/>
    </row>
    <row r="16" ht="20.05" customHeight="1">
      <c r="B16" s="31">
        <v>2018</v>
      </c>
      <c r="C16" s="13">
        <v>3806</v>
      </c>
      <c r="D16" s="14">
        <v>-415</v>
      </c>
      <c r="E16" s="14">
        <v>-60</v>
      </c>
      <c r="F16" s="14">
        <v>-1</v>
      </c>
      <c r="G16" s="14"/>
      <c r="H16" s="14"/>
      <c r="I16" s="14">
        <v>-414.625</v>
      </c>
      <c r="J16" s="14">
        <v>-1</v>
      </c>
      <c r="K16" s="14">
        <f>SUM(D16:F16)</f>
        <v>-476</v>
      </c>
      <c r="L16" s="14">
        <f>AVERAGE(K13:K16)</f>
        <v>379.5</v>
      </c>
      <c r="M16" s="14"/>
      <c r="N16" s="14">
        <f>-(J16-F16)+N15</f>
        <v>4212</v>
      </c>
      <c r="O16" s="14"/>
    </row>
    <row r="17" ht="20.05" customHeight="1">
      <c r="B17" s="29"/>
      <c r="C17" s="13">
        <v>7492</v>
      </c>
      <c r="D17" s="14">
        <v>2823</v>
      </c>
      <c r="E17" s="14">
        <v>-83</v>
      </c>
      <c r="F17" s="14">
        <v>-9</v>
      </c>
      <c r="G17" s="14"/>
      <c r="H17" s="14"/>
      <c r="I17" s="14">
        <v>-414.625</v>
      </c>
      <c r="J17" s="14">
        <v>-1344</v>
      </c>
      <c r="K17" s="14">
        <f>SUM(D17:F17)</f>
        <v>2731</v>
      </c>
      <c r="L17" s="14">
        <f>AVERAGE(K14:K17)</f>
        <v>322.75</v>
      </c>
      <c r="M17" s="14"/>
      <c r="N17" s="14">
        <f>-(J17-F17)+N16</f>
        <v>5547</v>
      </c>
      <c r="O17" s="14"/>
    </row>
    <row r="18" ht="20.05" customHeight="1">
      <c r="B18" s="29"/>
      <c r="C18" s="13">
        <v>3539</v>
      </c>
      <c r="D18" s="14">
        <v>-1598</v>
      </c>
      <c r="E18" s="14">
        <v>-103</v>
      </c>
      <c r="F18" s="14">
        <v>-3</v>
      </c>
      <c r="G18" s="14"/>
      <c r="H18" s="14"/>
      <c r="I18" s="14">
        <v>-414.625</v>
      </c>
      <c r="J18" s="14">
        <v>-3</v>
      </c>
      <c r="K18" s="14">
        <f>SUM(D18:F18)</f>
        <v>-1704</v>
      </c>
      <c r="L18" s="14">
        <f>AVERAGE(K15:K18)</f>
        <v>385.5</v>
      </c>
      <c r="M18" s="14"/>
      <c r="N18" s="14">
        <f>-(J18-F18)+N17</f>
        <v>5547</v>
      </c>
      <c r="O18" s="14"/>
    </row>
    <row r="19" ht="20.05" customHeight="1">
      <c r="B19" s="29"/>
      <c r="C19" s="13">
        <v>4853</v>
      </c>
      <c r="D19" s="14">
        <v>1161</v>
      </c>
      <c r="E19" s="14">
        <v>-443</v>
      </c>
      <c r="F19" s="14">
        <v>-10</v>
      </c>
      <c r="G19" s="14"/>
      <c r="H19" s="14"/>
      <c r="I19" s="14">
        <v>-414.625</v>
      </c>
      <c r="J19" s="14">
        <v>-333</v>
      </c>
      <c r="K19" s="14">
        <f>SUM(D19:F19)</f>
        <v>708</v>
      </c>
      <c r="L19" s="14">
        <f>AVERAGE(K16:K19)</f>
        <v>314.75</v>
      </c>
      <c r="M19" s="14"/>
      <c r="N19" s="14">
        <f>-(J19-F19)+N18</f>
        <v>5870</v>
      </c>
      <c r="O19" s="14"/>
    </row>
    <row r="20" ht="20.05" customHeight="1">
      <c r="B20" s="31">
        <v>2019</v>
      </c>
      <c r="C20" s="13">
        <v>3698</v>
      </c>
      <c r="D20" s="14">
        <v>-583</v>
      </c>
      <c r="E20" s="14">
        <v>-139</v>
      </c>
      <c r="F20" s="14">
        <v>-5</v>
      </c>
      <c r="G20" s="14"/>
      <c r="H20" s="14"/>
      <c r="I20" s="14">
        <v>-353.825</v>
      </c>
      <c r="J20" s="14">
        <v>212</v>
      </c>
      <c r="K20" s="14">
        <f>SUM(D20:F20)</f>
        <v>-727</v>
      </c>
      <c r="L20" s="14">
        <f>AVERAGE(K17:K20)</f>
        <v>252</v>
      </c>
      <c r="M20" s="14"/>
      <c r="N20" s="14">
        <f>-(J20-F20)+N19</f>
        <v>5653</v>
      </c>
      <c r="O20" s="14"/>
    </row>
    <row r="21" ht="20.05" customHeight="1">
      <c r="B21" s="29"/>
      <c r="C21" s="13">
        <v>7740</v>
      </c>
      <c r="D21" s="14">
        <v>1717</v>
      </c>
      <c r="E21" s="14">
        <v>-203</v>
      </c>
      <c r="F21" s="14">
        <v>-14</v>
      </c>
      <c r="G21" s="14"/>
      <c r="H21" s="14"/>
      <c r="I21" s="14">
        <v>-353.825</v>
      </c>
      <c r="J21" s="14">
        <v>-1403</v>
      </c>
      <c r="K21" s="14">
        <f>SUM(D21:F21)</f>
        <v>1500</v>
      </c>
      <c r="L21" s="14">
        <f>AVERAGE(K18:K21)</f>
        <v>-55.75</v>
      </c>
      <c r="M21" s="14"/>
      <c r="N21" s="14">
        <f>-(J21-F21)+N20</f>
        <v>7042</v>
      </c>
      <c r="O21" s="14"/>
    </row>
    <row r="22" ht="20.05" customHeight="1">
      <c r="B22" s="29"/>
      <c r="C22" s="13">
        <v>3667</v>
      </c>
      <c r="D22" s="14">
        <v>-352</v>
      </c>
      <c r="E22" s="14">
        <v>-112</v>
      </c>
      <c r="F22" s="14">
        <v>-12</v>
      </c>
      <c r="G22" s="14"/>
      <c r="H22" s="14"/>
      <c r="I22" s="14">
        <v>-353.825</v>
      </c>
      <c r="J22" s="14">
        <v>311</v>
      </c>
      <c r="K22" s="14">
        <f>SUM(D22:F22)</f>
        <v>-476</v>
      </c>
      <c r="L22" s="14">
        <f>AVERAGE(K19:K22)</f>
        <v>251.25</v>
      </c>
      <c r="M22" s="14"/>
      <c r="N22" s="14">
        <f>-(J22-F22)+N21</f>
        <v>6719</v>
      </c>
      <c r="O22" s="14"/>
    </row>
    <row r="23" ht="20.05" customHeight="1">
      <c r="B23" s="29"/>
      <c r="C23" s="13">
        <v>4844</v>
      </c>
      <c r="D23" s="14">
        <v>1127</v>
      </c>
      <c r="E23" s="14">
        <v>-3</v>
      </c>
      <c r="F23" s="14">
        <v>-18</v>
      </c>
      <c r="G23" s="14"/>
      <c r="H23" s="14"/>
      <c r="I23" s="14">
        <v>-353.825</v>
      </c>
      <c r="J23" s="14">
        <v>-584</v>
      </c>
      <c r="K23" s="14">
        <f>SUM(D23:F23)</f>
        <v>1106</v>
      </c>
      <c r="L23" s="14">
        <f>AVERAGE(K20:K23)</f>
        <v>350.75</v>
      </c>
      <c r="M23" s="14"/>
      <c r="N23" s="14">
        <f>-(J23-F23)+N22</f>
        <v>7285</v>
      </c>
      <c r="O23" s="14"/>
    </row>
    <row r="24" ht="20.05" customHeight="1">
      <c r="B24" s="31">
        <v>2020</v>
      </c>
      <c r="C24" s="13">
        <v>3044</v>
      </c>
      <c r="D24" s="14">
        <v>-924</v>
      </c>
      <c r="E24" s="14">
        <v>-64</v>
      </c>
      <c r="F24" s="18">
        <v>-26.25</v>
      </c>
      <c r="G24" s="14">
        <v>-329</v>
      </c>
      <c r="H24" s="14">
        <v>1620</v>
      </c>
      <c r="I24" s="14">
        <v>-336.9</v>
      </c>
      <c r="J24" s="14">
        <v>1274</v>
      </c>
      <c r="K24" s="14">
        <f>SUM(D24:G24)</f>
        <v>-1343.25</v>
      </c>
      <c r="L24" s="14">
        <f>AVERAGE(K21:K24)</f>
        <v>196.6875</v>
      </c>
      <c r="M24" s="14"/>
      <c r="N24" s="14">
        <f>-(H24+I24)+N23</f>
        <v>6001.9</v>
      </c>
      <c r="O24" s="14"/>
    </row>
    <row r="25" ht="20.05" customHeight="1">
      <c r="B25" s="29"/>
      <c r="C25" s="13">
        <v>1322</v>
      </c>
      <c r="D25" s="14">
        <v>-393</v>
      </c>
      <c r="E25" s="14">
        <v>-44</v>
      </c>
      <c r="F25" s="18">
        <v>-26.25</v>
      </c>
      <c r="G25" s="14">
        <v>329</v>
      </c>
      <c r="H25" s="14">
        <v>447</v>
      </c>
      <c r="I25" s="14">
        <v>0</v>
      </c>
      <c r="J25" s="14">
        <v>417</v>
      </c>
      <c r="K25" s="14">
        <f>SUM(D25:G25)</f>
        <v>-134.25</v>
      </c>
      <c r="L25" s="14">
        <f>AVERAGE(K22:K25)</f>
        <v>-211.875</v>
      </c>
      <c r="M25" s="14"/>
      <c r="N25" s="14">
        <f>-(H25+I25)+N24</f>
        <v>5554.9</v>
      </c>
      <c r="O25" s="14"/>
    </row>
    <row r="26" ht="20.05" customHeight="1">
      <c r="B26" s="29"/>
      <c r="C26" s="13">
        <v>2143</v>
      </c>
      <c r="D26" s="14">
        <v>270</v>
      </c>
      <c r="E26" s="14">
        <v>-39</v>
      </c>
      <c r="F26" s="18">
        <v>-26.25</v>
      </c>
      <c r="G26" s="14">
        <v>0</v>
      </c>
      <c r="H26" s="14">
        <v>-626</v>
      </c>
      <c r="I26" s="14">
        <v>0</v>
      </c>
      <c r="J26" s="14">
        <v>-661</v>
      </c>
      <c r="K26" s="14">
        <f>SUM(D26:G26)</f>
        <v>204.75</v>
      </c>
      <c r="L26" s="14">
        <f>AVERAGE(K23:K26)</f>
        <v>-41.6875</v>
      </c>
      <c r="M26" s="14"/>
      <c r="N26" s="14">
        <f>-(H26+I26)+N25</f>
        <v>6180.9</v>
      </c>
      <c r="O26" s="14"/>
    </row>
    <row r="27" ht="20.05" customHeight="1">
      <c r="B27" s="29"/>
      <c r="C27" s="13">
        <f>9505.4-SUM(C24:C26)</f>
        <v>2996.4</v>
      </c>
      <c r="D27" s="14">
        <f>90-SUM(D24:D26)</f>
        <v>1137</v>
      </c>
      <c r="E27" s="14">
        <f>-594.7-SUM(E24:E26)</f>
        <v>-447.7</v>
      </c>
      <c r="F27" s="18">
        <v>-26.25</v>
      </c>
      <c r="G27" s="14">
        <v>-713</v>
      </c>
      <c r="H27" s="14">
        <v>-430</v>
      </c>
      <c r="I27" s="14">
        <v>0</v>
      </c>
      <c r="J27" s="14">
        <f>-143.9-SUM(J24:J26)</f>
        <v>-1173.9</v>
      </c>
      <c r="K27" s="14">
        <f>SUM(D27:G27)</f>
        <v>-49.95</v>
      </c>
      <c r="L27" s="14">
        <f>AVERAGE(K24:K27)</f>
        <v>-330.675</v>
      </c>
      <c r="M27" s="14"/>
      <c r="N27" s="14">
        <f>-(H27+I27)+N26</f>
        <v>6610.9</v>
      </c>
      <c r="O27" s="14"/>
    </row>
    <row r="28" ht="20.05" customHeight="1">
      <c r="B28" s="31">
        <v>2021</v>
      </c>
      <c r="C28" s="13">
        <v>2313</v>
      </c>
      <c r="D28" s="14">
        <v>545</v>
      </c>
      <c r="E28" s="14">
        <v>-13</v>
      </c>
      <c r="F28" s="14">
        <v>-8.5</v>
      </c>
      <c r="G28" s="14">
        <v>-217</v>
      </c>
      <c r="H28" s="14">
        <v>-531</v>
      </c>
      <c r="I28" s="14">
        <v>0</v>
      </c>
      <c r="J28" s="14">
        <v>-761</v>
      </c>
      <c r="K28" s="14">
        <f>SUM(D28:G28)</f>
        <v>306.5</v>
      </c>
      <c r="L28" s="14">
        <f>AVERAGE(K25:K28)</f>
        <v>81.7625</v>
      </c>
      <c r="M28" s="14"/>
      <c r="N28" s="14">
        <f>-(H28+I28)+N27</f>
        <v>7141.9</v>
      </c>
      <c r="O28" s="14"/>
    </row>
    <row r="29" ht="20.05" customHeight="1">
      <c r="B29" s="29"/>
      <c r="C29" s="13">
        <f>7259.3-C28</f>
        <v>4946.3</v>
      </c>
      <c r="D29" s="14">
        <f>1829.8-D28</f>
        <v>1284.8</v>
      </c>
      <c r="E29" s="14">
        <f>-35-E28</f>
        <v>-22</v>
      </c>
      <c r="F29" s="14">
        <v>-8.5</v>
      </c>
      <c r="G29" s="14">
        <v>-55.1</v>
      </c>
      <c r="H29" s="14">
        <v>-480</v>
      </c>
      <c r="I29" s="14">
        <v>0</v>
      </c>
      <c r="J29" s="14">
        <f>-1299.9-J28</f>
        <v>-538.9</v>
      </c>
      <c r="K29" s="14">
        <f>SUM(D29:G29)</f>
        <v>1199.2</v>
      </c>
      <c r="L29" s="14">
        <f>AVERAGE(K26:K29)</f>
        <v>415.125</v>
      </c>
      <c r="M29" s="14"/>
      <c r="N29" s="14">
        <f>-(H29+I29)+N28</f>
        <v>7621.9</v>
      </c>
      <c r="O29" s="14"/>
    </row>
    <row r="30" ht="20.05" customHeight="1">
      <c r="B30" s="29"/>
      <c r="C30" s="13">
        <f>8308.6-SUM(C28:C29)</f>
        <v>1049.3</v>
      </c>
      <c r="D30" s="14">
        <f>1490.6-SUM(D28:D29)</f>
        <v>-339.2</v>
      </c>
      <c r="E30" s="14">
        <f>-43.8-SUM(E28:E29)</f>
        <v>-8.800000000000001</v>
      </c>
      <c r="F30" s="14">
        <f>-19.8-SUM(F28:F29)</f>
        <v>-2.8</v>
      </c>
      <c r="G30" s="14">
        <v>-79.2</v>
      </c>
      <c r="H30" s="14">
        <v>0</v>
      </c>
      <c r="I30" s="14">
        <v>-120.1</v>
      </c>
      <c r="J30" s="14">
        <f>-1502.2-SUM(J28:J29)</f>
        <v>-202.3</v>
      </c>
      <c r="K30" s="14">
        <f>SUM(D30:G30)</f>
        <v>-430</v>
      </c>
      <c r="L30" s="14">
        <f>AVERAGE(K27:K30)</f>
        <v>256.4375</v>
      </c>
      <c r="M30" s="14"/>
      <c r="N30" s="14">
        <f>-(H30+I30)+N29</f>
        <v>7742</v>
      </c>
      <c r="O30" s="14"/>
    </row>
    <row r="31" ht="20.05" customHeight="1">
      <c r="B31" s="29"/>
      <c r="C31" s="13">
        <f>11333-C30-C29-C28</f>
        <v>3024.4</v>
      </c>
      <c r="D31" s="14">
        <f>2408.4-D30-D29-D28</f>
        <v>917.8</v>
      </c>
      <c r="E31" s="14">
        <f>-186.8-E30-E29-E28</f>
        <v>-143</v>
      </c>
      <c r="F31" s="14">
        <f>-19.7-F30-F29-F28</f>
        <v>0.1</v>
      </c>
      <c r="G31" s="14">
        <f>-599-G30-G29-G28</f>
        <v>-247.7</v>
      </c>
      <c r="H31" s="14">
        <f>-1011-H30-H29-H28</f>
        <v>0</v>
      </c>
      <c r="I31" s="14">
        <f>-200-255-I30-I29-I28</f>
        <v>-334.9</v>
      </c>
      <c r="J31" s="14">
        <f>-2084-J30-J29-J28</f>
        <v>-581.8</v>
      </c>
      <c r="K31" s="14">
        <f>SUM(D31:G31)</f>
        <v>527.2</v>
      </c>
      <c r="L31" s="14">
        <f>AVERAGE(K28:K31)</f>
        <v>400.725</v>
      </c>
      <c r="M31" s="14">
        <f>L31</f>
        <v>400.725</v>
      </c>
      <c r="N31" s="14">
        <f>-(H31+I31)+N30</f>
        <v>8076.9</v>
      </c>
      <c r="O31" s="14">
        <f>N31</f>
        <v>8076.9</v>
      </c>
    </row>
    <row r="32" ht="20.05" customHeight="1">
      <c r="B32" s="31">
        <v>2022</v>
      </c>
      <c r="C32" s="13"/>
      <c r="D32" s="14"/>
      <c r="E32" s="14"/>
      <c r="F32" s="14"/>
      <c r="G32" s="14"/>
      <c r="H32" s="14"/>
      <c r="I32" s="14"/>
      <c r="J32" s="14"/>
      <c r="K32" s="14"/>
      <c r="L32" s="22"/>
      <c r="M32" s="14">
        <f>SUM('Model'!C9:F11)/4</f>
        <v>455.684662281730</v>
      </c>
      <c r="N32" s="22"/>
      <c r="O32" s="14">
        <f>'Model'!F33</f>
        <v>9587.298813488080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6.26562" style="34" customWidth="1"/>
    <col min="3" max="11" width="11.1641" style="34" customWidth="1"/>
    <col min="12" max="16384" width="16.3516" style="34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54</v>
      </c>
      <c r="C3" t="s" s="5">
        <v>55</v>
      </c>
      <c r="D3" t="s" s="5">
        <v>56</v>
      </c>
      <c r="E3" t="s" s="5">
        <v>23</v>
      </c>
      <c r="F3" t="s" s="5">
        <v>24</v>
      </c>
      <c r="G3" t="s" s="5">
        <v>12</v>
      </c>
      <c r="H3" t="s" s="5">
        <v>26</v>
      </c>
      <c r="I3" t="s" s="5">
        <v>27</v>
      </c>
      <c r="J3" t="s" s="5">
        <v>28</v>
      </c>
      <c r="K3" t="s" s="5">
        <v>35</v>
      </c>
    </row>
    <row r="4" ht="20.25" customHeight="1">
      <c r="B4" s="25">
        <v>2015</v>
      </c>
      <c r="C4" s="33">
        <v>420</v>
      </c>
      <c r="D4" s="27">
        <v>3132</v>
      </c>
      <c r="E4" s="27">
        <f>D4-C4</f>
        <v>2712</v>
      </c>
      <c r="F4" s="27">
        <v>944</v>
      </c>
      <c r="G4" s="27">
        <v>2788</v>
      </c>
      <c r="H4" s="27">
        <v>344</v>
      </c>
      <c r="I4" s="27">
        <f>G4+H4-C4-E4</f>
        <v>0</v>
      </c>
      <c r="J4" s="27">
        <f>C4-G4</f>
        <v>-2368</v>
      </c>
      <c r="K4" s="27"/>
    </row>
    <row r="5" ht="20.05" customHeight="1">
      <c r="B5" s="29"/>
      <c r="C5" s="13">
        <v>693</v>
      </c>
      <c r="D5" s="14">
        <v>4115</v>
      </c>
      <c r="E5" s="14">
        <f>D5-C5</f>
        <v>3422</v>
      </c>
      <c r="F5" s="14">
        <v>1001</v>
      </c>
      <c r="G5" s="14">
        <v>4160</v>
      </c>
      <c r="H5" s="14">
        <v>-44</v>
      </c>
      <c r="I5" s="14">
        <f>G5+H5-C5-E5</f>
        <v>1</v>
      </c>
      <c r="J5" s="14">
        <f>C5-G5</f>
        <v>-3467</v>
      </c>
      <c r="K5" s="14"/>
    </row>
    <row r="6" ht="20.05" customHeight="1">
      <c r="B6" s="29"/>
      <c r="C6" s="13">
        <v>660</v>
      </c>
      <c r="D6" s="14">
        <v>3603</v>
      </c>
      <c r="E6" s="14">
        <f>D6-C6</f>
        <v>2943</v>
      </c>
      <c r="F6" s="14">
        <v>1063</v>
      </c>
      <c r="G6" s="14">
        <v>2911</v>
      </c>
      <c r="H6" s="14">
        <v>692</v>
      </c>
      <c r="I6" s="14">
        <f>G6+H6-C6-E6</f>
        <v>0</v>
      </c>
      <c r="J6" s="14">
        <f>C6-G6</f>
        <v>-2251</v>
      </c>
      <c r="K6" s="14"/>
    </row>
    <row r="7" ht="20.05" customHeight="1">
      <c r="B7" s="29"/>
      <c r="C7" s="13">
        <v>947</v>
      </c>
      <c r="D7" s="14">
        <v>3889</v>
      </c>
      <c r="E7" s="14">
        <f>D7-C7</f>
        <v>2942</v>
      </c>
      <c r="F7" s="14">
        <v>1128</v>
      </c>
      <c r="G7" s="14">
        <v>2783</v>
      </c>
      <c r="H7" s="14">
        <v>1106</v>
      </c>
      <c r="I7" s="14">
        <f>G7+H7-C7-E7</f>
        <v>0</v>
      </c>
      <c r="J7" s="14">
        <f>C7-G7</f>
        <v>-1836</v>
      </c>
      <c r="K7" s="14"/>
    </row>
    <row r="8" ht="20.05" customHeight="1">
      <c r="B8" s="31">
        <v>2016</v>
      </c>
      <c r="C8" s="13">
        <v>526</v>
      </c>
      <c r="D8" s="14">
        <v>3597</v>
      </c>
      <c r="E8" s="14">
        <f>D8-C8</f>
        <v>3071</v>
      </c>
      <c r="F8" s="14">
        <v>1187</v>
      </c>
      <c r="G8" s="14">
        <v>2246</v>
      </c>
      <c r="H8" s="14">
        <v>1350</v>
      </c>
      <c r="I8" s="14">
        <f>G8+H8-C8-E8</f>
        <v>-1</v>
      </c>
      <c r="J8" s="14">
        <f>C8-G8</f>
        <v>-1720</v>
      </c>
      <c r="K8" s="14"/>
    </row>
    <row r="9" ht="20.05" customHeight="1">
      <c r="B9" s="29"/>
      <c r="C9" s="13">
        <v>1803</v>
      </c>
      <c r="D9" s="14">
        <v>5289</v>
      </c>
      <c r="E9" s="14">
        <f>D9-C9</f>
        <v>3486</v>
      </c>
      <c r="F9" s="14">
        <v>1251</v>
      </c>
      <c r="G9" s="14">
        <v>4273</v>
      </c>
      <c r="H9" s="14">
        <v>1016</v>
      </c>
      <c r="I9" s="14">
        <f>G9+H9-C9-E9</f>
        <v>0</v>
      </c>
      <c r="J9" s="14">
        <f>C9-G9</f>
        <v>-2470</v>
      </c>
      <c r="K9" s="14"/>
    </row>
    <row r="10" ht="20.05" customHeight="1">
      <c r="B10" s="29"/>
      <c r="C10" s="13">
        <v>671</v>
      </c>
      <c r="D10" s="14">
        <v>3776</v>
      </c>
      <c r="E10" s="14">
        <f>D10-C10</f>
        <v>3105</v>
      </c>
      <c r="F10" s="14">
        <v>1316</v>
      </c>
      <c r="G10" s="14">
        <v>2306</v>
      </c>
      <c r="H10" s="14">
        <v>1470</v>
      </c>
      <c r="I10" s="14">
        <f>G10+H10-C10-E10</f>
        <v>0</v>
      </c>
      <c r="J10" s="14">
        <f>C10-G10</f>
        <v>-1635</v>
      </c>
      <c r="K10" s="14"/>
    </row>
    <row r="11" ht="20.05" customHeight="1">
      <c r="B11" s="29"/>
      <c r="C11" s="13">
        <v>1713</v>
      </c>
      <c r="D11" s="14">
        <v>4859</v>
      </c>
      <c r="E11" s="14">
        <f>D11-C11</f>
        <v>3146</v>
      </c>
      <c r="F11" s="14">
        <v>1384</v>
      </c>
      <c r="G11" s="14">
        <v>3003</v>
      </c>
      <c r="H11" s="14">
        <v>1855</v>
      </c>
      <c r="I11" s="14">
        <f>G11+H11-C11-E11</f>
        <v>-1</v>
      </c>
      <c r="J11" s="14">
        <f>C11-G11</f>
        <v>-1290</v>
      </c>
      <c r="K11" s="14"/>
    </row>
    <row r="12" ht="20.05" customHeight="1">
      <c r="B12" s="31">
        <v>2017</v>
      </c>
      <c r="C12" s="13">
        <v>1003</v>
      </c>
      <c r="D12" s="14">
        <v>4511</v>
      </c>
      <c r="E12" s="14">
        <f>D12-C12</f>
        <v>3508</v>
      </c>
      <c r="F12" s="14">
        <v>1446</v>
      </c>
      <c r="G12" s="14">
        <v>2411</v>
      </c>
      <c r="H12" s="14">
        <v>2099</v>
      </c>
      <c r="I12" s="14">
        <f>G12+H12-C12-E12</f>
        <v>-1</v>
      </c>
      <c r="J12" s="14">
        <f>C12-G12</f>
        <v>-1408</v>
      </c>
      <c r="K12" s="14"/>
    </row>
    <row r="13" ht="20.05" customHeight="1">
      <c r="B13" s="29"/>
      <c r="C13" s="13">
        <v>2551</v>
      </c>
      <c r="D13" s="14">
        <v>6314</v>
      </c>
      <c r="E13" s="14">
        <f>D13-C13</f>
        <v>3763</v>
      </c>
      <c r="F13" s="14">
        <v>1517</v>
      </c>
      <c r="G13" s="14">
        <v>4535</v>
      </c>
      <c r="H13" s="14">
        <v>1779</v>
      </c>
      <c r="I13" s="14">
        <f>G13+H13-C13-E13</f>
        <v>0</v>
      </c>
      <c r="J13" s="14">
        <f>C13-G13</f>
        <v>-1984</v>
      </c>
      <c r="K13" s="14"/>
    </row>
    <row r="14" ht="20.05" customHeight="1">
      <c r="B14" s="29"/>
      <c r="C14" s="13">
        <v>593</v>
      </c>
      <c r="D14" s="14">
        <v>4262</v>
      </c>
      <c r="E14" s="14">
        <f>D14-C14</f>
        <v>3669</v>
      </c>
      <c r="F14" s="14">
        <v>1583</v>
      </c>
      <c r="G14" s="14">
        <v>2315</v>
      </c>
      <c r="H14" s="14">
        <v>1946</v>
      </c>
      <c r="I14" s="14">
        <f>G14+H14-C14-E14</f>
        <v>-1</v>
      </c>
      <c r="J14" s="14">
        <f>C14-G14</f>
        <v>-1722</v>
      </c>
      <c r="K14" s="14"/>
    </row>
    <row r="15" ht="20.05" customHeight="1">
      <c r="B15" s="29"/>
      <c r="C15" s="13">
        <v>1583</v>
      </c>
      <c r="D15" s="14">
        <v>5428</v>
      </c>
      <c r="E15" s="14">
        <f>D15-C15</f>
        <v>3845</v>
      </c>
      <c r="F15" s="14">
        <v>1638</v>
      </c>
      <c r="G15" s="14">
        <v>3100</v>
      </c>
      <c r="H15" s="14">
        <v>2328</v>
      </c>
      <c r="I15" s="14">
        <f>G15+H15-C15-E15</f>
        <v>0</v>
      </c>
      <c r="J15" s="14">
        <f>C15-G15</f>
        <v>-1517</v>
      </c>
      <c r="K15" s="14"/>
    </row>
    <row r="16" ht="20.05" customHeight="1">
      <c r="B16" s="31">
        <v>2018</v>
      </c>
      <c r="C16" s="13">
        <v>1106</v>
      </c>
      <c r="D16" s="14">
        <v>5415</v>
      </c>
      <c r="E16" s="14">
        <f>D16-C16</f>
        <v>4309</v>
      </c>
      <c r="F16" s="14">
        <v>1653</v>
      </c>
      <c r="G16" s="14">
        <v>2839</v>
      </c>
      <c r="H16" s="14">
        <v>2575</v>
      </c>
      <c r="I16" s="14">
        <f>G16+H16-C16-E16</f>
        <v>-1</v>
      </c>
      <c r="J16" s="14">
        <f>C16-G16</f>
        <v>-1733</v>
      </c>
      <c r="K16" s="14"/>
    </row>
    <row r="17" ht="20.05" customHeight="1">
      <c r="B17" s="29"/>
      <c r="C17" s="13">
        <v>2502</v>
      </c>
      <c r="D17" s="14">
        <v>6711</v>
      </c>
      <c r="E17" s="14">
        <f>D17-C17</f>
        <v>4209</v>
      </c>
      <c r="F17" s="14">
        <v>1725</v>
      </c>
      <c r="G17" s="14">
        <v>4374</v>
      </c>
      <c r="H17" s="14">
        <v>2338</v>
      </c>
      <c r="I17" s="14">
        <f>G17+H17-C17-E17</f>
        <v>1</v>
      </c>
      <c r="J17" s="14">
        <f>C17-G17</f>
        <v>-1872</v>
      </c>
      <c r="K17" s="14"/>
    </row>
    <row r="18" ht="20.05" customHeight="1">
      <c r="B18" s="29"/>
      <c r="C18" s="13">
        <v>799</v>
      </c>
      <c r="D18" s="14">
        <v>5005</v>
      </c>
      <c r="E18" s="14">
        <f>D18-C18</f>
        <v>4206</v>
      </c>
      <c r="F18" s="14">
        <v>1792</v>
      </c>
      <c r="G18" s="14">
        <v>2516</v>
      </c>
      <c r="H18" s="14">
        <v>2489</v>
      </c>
      <c r="I18" s="14">
        <f>G18+H18-C18-E18</f>
        <v>0</v>
      </c>
      <c r="J18" s="14">
        <f>C18-G18</f>
        <v>-1717</v>
      </c>
      <c r="K18" s="14"/>
    </row>
    <row r="19" ht="20.05" customHeight="1">
      <c r="B19" s="29"/>
      <c r="C19" s="13">
        <v>1184</v>
      </c>
      <c r="D19" s="14">
        <v>5036</v>
      </c>
      <c r="E19" s="14">
        <f>D19-C19</f>
        <v>3852</v>
      </c>
      <c r="F19" s="14">
        <v>1873</v>
      </c>
      <c r="G19" s="14">
        <v>3221</v>
      </c>
      <c r="H19" s="14">
        <v>1816</v>
      </c>
      <c r="I19" s="14">
        <f>G19+H19-C19-E19</f>
        <v>1</v>
      </c>
      <c r="J19" s="14">
        <f>C19-G19</f>
        <v>-2037</v>
      </c>
      <c r="K19" s="14"/>
    </row>
    <row r="20" ht="20.05" customHeight="1">
      <c r="B20" s="31">
        <v>2019</v>
      </c>
      <c r="C20" s="13">
        <v>673</v>
      </c>
      <c r="D20" s="14">
        <v>5265</v>
      </c>
      <c r="E20" s="14">
        <f>D20-C20</f>
        <v>4592</v>
      </c>
      <c r="F20" s="14">
        <v>1944</v>
      </c>
      <c r="G20" s="14">
        <v>3484</v>
      </c>
      <c r="H20" s="14">
        <v>1781</v>
      </c>
      <c r="I20" s="14">
        <f>G20+H20-C20-E20</f>
        <v>0</v>
      </c>
      <c r="J20" s="14">
        <f>C20-G20</f>
        <v>-2811</v>
      </c>
      <c r="K20" s="14"/>
    </row>
    <row r="21" ht="20.05" customHeight="1">
      <c r="B21" s="29"/>
      <c r="C21" s="13">
        <v>786</v>
      </c>
      <c r="D21" s="14">
        <v>5220</v>
      </c>
      <c r="E21" s="14">
        <f>D21-C21</f>
        <v>4434</v>
      </c>
      <c r="F21" s="14">
        <v>2023</v>
      </c>
      <c r="G21" s="14">
        <v>3514</v>
      </c>
      <c r="H21" s="14">
        <v>1706</v>
      </c>
      <c r="I21" s="14">
        <f>G21+H21-C21-E21</f>
        <v>0</v>
      </c>
      <c r="J21" s="14">
        <f>C21-G21</f>
        <v>-2728</v>
      </c>
      <c r="K21" s="14"/>
    </row>
    <row r="22" ht="20.05" customHeight="1">
      <c r="B22" s="29"/>
      <c r="C22" s="13">
        <v>633</v>
      </c>
      <c r="D22" s="14">
        <v>4730</v>
      </c>
      <c r="E22" s="14">
        <f>D22-C22</f>
        <v>4097</v>
      </c>
      <c r="F22" s="14">
        <v>2098</v>
      </c>
      <c r="G22" s="14">
        <v>3051</v>
      </c>
      <c r="H22" s="14">
        <v>1679</v>
      </c>
      <c r="I22" s="14">
        <f>G22+H22-C22-E22</f>
        <v>0</v>
      </c>
      <c r="J22" s="14">
        <f>C22-G22</f>
        <v>-2418</v>
      </c>
      <c r="K22" s="14"/>
    </row>
    <row r="23" ht="20.05" customHeight="1">
      <c r="B23" s="29"/>
      <c r="C23" s="13">
        <v>1172</v>
      </c>
      <c r="D23" s="14">
        <v>4833</v>
      </c>
      <c r="E23" s="14">
        <f>D23-C23</f>
        <v>3661</v>
      </c>
      <c r="F23" s="14">
        <v>2167</v>
      </c>
      <c r="G23" s="14">
        <v>3086</v>
      </c>
      <c r="H23" s="14">
        <v>1747</v>
      </c>
      <c r="I23" s="14">
        <f>G23+H23-C23-E23</f>
        <v>0</v>
      </c>
      <c r="J23" s="14">
        <f>C23-G23</f>
        <v>-1914</v>
      </c>
      <c r="K23" s="14"/>
    </row>
    <row r="24" ht="20.05" customHeight="1">
      <c r="B24" s="31">
        <v>2020</v>
      </c>
      <c r="C24" s="13">
        <v>1459</v>
      </c>
      <c r="D24" s="14">
        <v>9216</v>
      </c>
      <c r="E24" s="14">
        <f>D24-C24</f>
        <v>7757</v>
      </c>
      <c r="F24" s="14">
        <v>2229</v>
      </c>
      <c r="G24" s="14">
        <v>7900</v>
      </c>
      <c r="H24" s="14">
        <v>1316</v>
      </c>
      <c r="I24" s="14">
        <f>G24+H24-C24-E24</f>
        <v>0</v>
      </c>
      <c r="J24" s="14">
        <f>C24-G24</f>
        <v>-6441</v>
      </c>
      <c r="K24" s="14"/>
    </row>
    <row r="25" ht="20.05" customHeight="1">
      <c r="B25" s="29"/>
      <c r="C25" s="13">
        <v>1439</v>
      </c>
      <c r="D25" s="14">
        <v>8681</v>
      </c>
      <c r="E25" s="14">
        <f>D25-C25</f>
        <v>7242</v>
      </c>
      <c r="F25" s="14">
        <v>2291</v>
      </c>
      <c r="G25" s="14">
        <v>7629</v>
      </c>
      <c r="H25" s="14">
        <v>1052</v>
      </c>
      <c r="I25" s="14">
        <f>G25+H25-C25-E25</f>
        <v>0</v>
      </c>
      <c r="J25" s="14">
        <f>C25-G25</f>
        <v>-6190</v>
      </c>
      <c r="K25" s="14"/>
    </row>
    <row r="26" ht="20.05" customHeight="1">
      <c r="B26" s="29"/>
      <c r="C26" s="13">
        <v>1009</v>
      </c>
      <c r="D26" s="14">
        <v>7443</v>
      </c>
      <c r="E26" s="14">
        <f>D26-C26</f>
        <v>6434</v>
      </c>
      <c r="F26" s="14">
        <v>2309</v>
      </c>
      <c r="G26" s="14">
        <v>6650</v>
      </c>
      <c r="H26" s="14">
        <v>793</v>
      </c>
      <c r="I26" s="14">
        <f>G26+H26-C26-E26</f>
        <v>0</v>
      </c>
      <c r="J26" s="14">
        <f>C26-G26</f>
        <v>-5641</v>
      </c>
      <c r="K26" s="14"/>
    </row>
    <row r="27" ht="20.05" customHeight="1">
      <c r="B27" s="29"/>
      <c r="C27" s="13">
        <v>524</v>
      </c>
      <c r="D27" s="14">
        <v>6319</v>
      </c>
      <c r="E27" s="14">
        <f>D27-C27</f>
        <v>5795</v>
      </c>
      <c r="F27" s="14">
        <f>2288+644</f>
        <v>2932</v>
      </c>
      <c r="G27" s="14">
        <v>5738</v>
      </c>
      <c r="H27" s="14">
        <v>581</v>
      </c>
      <c r="I27" s="14">
        <f>G27+H27-C27-E27</f>
        <v>0</v>
      </c>
      <c r="J27" s="14">
        <f>C27-G27</f>
        <v>-5214</v>
      </c>
      <c r="K27" s="14"/>
    </row>
    <row r="28" ht="20.05" customHeight="1">
      <c r="B28" s="31">
        <v>2021</v>
      </c>
      <c r="C28" s="13">
        <v>295</v>
      </c>
      <c r="D28" s="14">
        <v>6319</v>
      </c>
      <c r="E28" s="14">
        <f>D28-C28</f>
        <v>6024</v>
      </c>
      <c r="F28" s="14">
        <f>2262+793</f>
        <v>3055</v>
      </c>
      <c r="G28" s="14">
        <v>5891</v>
      </c>
      <c r="H28" s="14">
        <v>428</v>
      </c>
      <c r="I28" s="14">
        <f>G28+H28-C28-E28</f>
        <v>0</v>
      </c>
      <c r="J28" s="14">
        <f>C28-G28</f>
        <v>-5596</v>
      </c>
      <c r="K28" s="14"/>
    </row>
    <row r="29" ht="20.05" customHeight="1">
      <c r="B29" s="29"/>
      <c r="C29" s="13">
        <v>1018</v>
      </c>
      <c r="D29" s="14">
        <v>6700</v>
      </c>
      <c r="E29" s="14">
        <f>D29-C29</f>
        <v>5682</v>
      </c>
      <c r="F29" s="14">
        <f>2314+954</f>
        <v>3268</v>
      </c>
      <c r="G29" s="14">
        <f>5313</f>
        <v>5313</v>
      </c>
      <c r="H29" s="14">
        <v>1387</v>
      </c>
      <c r="I29" s="14">
        <f>G29+H29-C29-E29</f>
        <v>0</v>
      </c>
      <c r="J29" s="14">
        <f>C29-G29</f>
        <v>-4295</v>
      </c>
      <c r="K29" s="14"/>
    </row>
    <row r="30" ht="20.05" customHeight="1">
      <c r="B30" s="29"/>
      <c r="C30" s="13">
        <v>469</v>
      </c>
      <c r="D30" s="14">
        <v>5776</v>
      </c>
      <c r="E30" s="14">
        <f>D30-C30</f>
        <v>5307</v>
      </c>
      <c r="F30" s="14">
        <f>2329+1114</f>
        <v>3443</v>
      </c>
      <c r="G30" s="14">
        <v>4717</v>
      </c>
      <c r="H30" s="14">
        <v>1059</v>
      </c>
      <c r="I30" s="14">
        <f>G30+H30-C30-E30</f>
        <v>0</v>
      </c>
      <c r="J30" s="14">
        <f>C30-G30</f>
        <v>-4248</v>
      </c>
      <c r="K30" s="14"/>
    </row>
    <row r="31" ht="20.05" customHeight="1">
      <c r="B31" s="29"/>
      <c r="C31" s="13">
        <v>661</v>
      </c>
      <c r="D31" s="14">
        <v>5851</v>
      </c>
      <c r="E31" s="14">
        <f>D31-C31</f>
        <v>5190</v>
      </c>
      <c r="F31" s="14">
        <f>F30+'Sales'!E31</f>
        <v>3681.7</v>
      </c>
      <c r="G31" s="14">
        <v>4845</v>
      </c>
      <c r="H31" s="14">
        <f>D31-G31</f>
        <v>1006</v>
      </c>
      <c r="I31" s="14">
        <f>G31+H31-C31-E31</f>
        <v>0</v>
      </c>
      <c r="J31" s="14">
        <f>C31-G31</f>
        <v>-4184</v>
      </c>
      <c r="K31" s="14">
        <f>J31</f>
        <v>-4184</v>
      </c>
    </row>
    <row r="32" ht="20.05" customHeight="1">
      <c r="B32" s="31">
        <v>2022</v>
      </c>
      <c r="C32" s="13"/>
      <c r="D32" s="14"/>
      <c r="E32" s="14"/>
      <c r="F32" s="14"/>
      <c r="G32" s="14"/>
      <c r="H32" s="14"/>
      <c r="I32" s="14"/>
      <c r="J32" s="14"/>
      <c r="K32" s="14">
        <f>'Model'!F31</f>
        <v>-3946.28278125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5" customWidth="1"/>
    <col min="2" max="2" width="8.35156" style="35" customWidth="1"/>
    <col min="3" max="3" width="8.73438" style="35" customWidth="1"/>
    <col min="4" max="5" width="8.53125" style="35" customWidth="1"/>
    <col min="6" max="16384" width="16.3516" style="35" customWidth="1"/>
  </cols>
  <sheetData>
    <row r="1" ht="31.85" customHeight="1"/>
    <row r="2" ht="27.65" customHeight="1">
      <c r="B2" t="s" s="2">
        <v>57</v>
      </c>
      <c r="C2" s="2"/>
      <c r="D2" s="2"/>
      <c r="E2" s="2"/>
    </row>
    <row r="3" ht="20.25" customHeight="1">
      <c r="B3" s="4"/>
      <c r="C3" t="s" s="36">
        <v>58</v>
      </c>
      <c r="D3" t="s" s="36">
        <v>38</v>
      </c>
      <c r="E3" t="s" s="36">
        <v>59</v>
      </c>
    </row>
    <row r="4" ht="20.25" customHeight="1">
      <c r="B4" s="25">
        <v>2018</v>
      </c>
      <c r="C4" s="33">
        <v>9557.918944999999</v>
      </c>
      <c r="D4" s="8"/>
      <c r="E4" s="8"/>
    </row>
    <row r="5" ht="20.05" customHeight="1">
      <c r="B5" s="29"/>
      <c r="C5" s="13">
        <v>8074.224609</v>
      </c>
      <c r="D5" s="22"/>
      <c r="E5" s="22"/>
    </row>
    <row r="6" ht="20.05" customHeight="1">
      <c r="B6" s="29"/>
      <c r="C6" s="13">
        <v>6353.864258</v>
      </c>
      <c r="D6" s="22"/>
      <c r="E6" s="22"/>
    </row>
    <row r="7" ht="20.05" customHeight="1">
      <c r="B7" s="29"/>
      <c r="C7" s="13">
        <v>5138.143066</v>
      </c>
      <c r="D7" s="22"/>
      <c r="E7" s="22"/>
    </row>
    <row r="8" ht="20.05" customHeight="1">
      <c r="B8" s="31">
        <v>2019</v>
      </c>
      <c r="C8" s="13">
        <v>3715.978516</v>
      </c>
      <c r="D8" s="22"/>
      <c r="E8" s="22"/>
    </row>
    <row r="9" ht="20.05" customHeight="1">
      <c r="B9" s="29"/>
      <c r="C9" s="13">
        <v>3450</v>
      </c>
      <c r="D9" s="22"/>
      <c r="E9" s="22"/>
    </row>
    <row r="10" ht="20.05" customHeight="1">
      <c r="B10" s="29"/>
      <c r="C10" s="13">
        <v>3430</v>
      </c>
      <c r="D10" s="22"/>
      <c r="E10" s="22"/>
    </row>
    <row r="11" ht="20.05" customHeight="1">
      <c r="B11" s="29"/>
      <c r="C11" s="17">
        <v>4210</v>
      </c>
      <c r="D11" s="22"/>
      <c r="E11" s="22"/>
    </row>
    <row r="12" ht="20.05" customHeight="1">
      <c r="B12" s="31">
        <v>2020</v>
      </c>
      <c r="C12" s="17">
        <v>1335</v>
      </c>
      <c r="D12" s="22"/>
      <c r="E12" s="22"/>
    </row>
    <row r="13" ht="20.05" customHeight="1">
      <c r="B13" s="29"/>
      <c r="C13" s="17">
        <v>1615</v>
      </c>
      <c r="D13" s="22"/>
      <c r="E13" s="22"/>
    </row>
    <row r="14" ht="20.05" customHeight="1">
      <c r="B14" s="29"/>
      <c r="C14" s="13">
        <v>980</v>
      </c>
      <c r="D14" s="22"/>
      <c r="E14" s="22"/>
    </row>
    <row r="15" ht="20.05" customHeight="1">
      <c r="B15" s="29"/>
      <c r="C15" s="13">
        <v>1275</v>
      </c>
      <c r="D15" s="22"/>
      <c r="E15" s="22"/>
    </row>
    <row r="16" ht="20.05" customHeight="1">
      <c r="B16" s="31">
        <v>2021</v>
      </c>
      <c r="C16" s="13">
        <v>1260</v>
      </c>
      <c r="D16" s="22"/>
      <c r="E16" s="22"/>
    </row>
    <row r="17" ht="20.05" customHeight="1">
      <c r="B17" s="29"/>
      <c r="C17" s="13">
        <v>1955</v>
      </c>
      <c r="D17" s="22"/>
      <c r="E17" s="22"/>
    </row>
    <row r="18" ht="20.05" customHeight="1">
      <c r="B18" s="29"/>
      <c r="C18" s="13">
        <v>2800</v>
      </c>
      <c r="D18" s="22"/>
      <c r="E18" s="22"/>
    </row>
    <row r="19" ht="20.05" customHeight="1">
      <c r="B19" s="29"/>
      <c r="C19" s="13">
        <v>4150</v>
      </c>
      <c r="D19" s="22"/>
      <c r="E19" s="22"/>
    </row>
    <row r="20" ht="20.05" customHeight="1">
      <c r="B20" s="31">
        <v>2022</v>
      </c>
      <c r="C20" s="13">
        <v>4700</v>
      </c>
      <c r="D20" s="14">
        <f>C20</f>
        <v>4700</v>
      </c>
      <c r="E20" s="22"/>
    </row>
    <row r="21" ht="20.05" customHeight="1">
      <c r="B21" s="29"/>
      <c r="C21" s="13"/>
      <c r="D21" s="14">
        <f>'Model'!F44</f>
        <v>10411.0888072615</v>
      </c>
      <c r="E21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P3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9.74219" style="37" customWidth="1"/>
    <col min="8" max="16" width="11.375" style="38" customWidth="1"/>
    <col min="17" max="16384" width="16.3516" style="38" customWidth="1"/>
  </cols>
  <sheetData>
    <row r="1" ht="27.65" customHeight="1">
      <c r="A1" t="s" s="2">
        <v>30</v>
      </c>
      <c r="B1" s="2"/>
      <c r="C1" s="2"/>
      <c r="D1" s="2"/>
      <c r="E1" s="2"/>
      <c r="F1" s="2"/>
      <c r="G1" s="2"/>
    </row>
    <row r="2" ht="20.25" customHeight="1">
      <c r="A2" t="s" s="5">
        <v>1</v>
      </c>
      <c r="B2" t="s" s="5">
        <v>12</v>
      </c>
      <c r="C2" t="s" s="5">
        <v>26</v>
      </c>
      <c r="D2" t="s" s="5">
        <v>60</v>
      </c>
      <c r="E2" t="s" s="5">
        <v>12</v>
      </c>
      <c r="F2" t="s" s="5">
        <v>26</v>
      </c>
      <c r="G2" t="s" s="5">
        <v>60</v>
      </c>
    </row>
    <row r="3" ht="20.25" customHeight="1">
      <c r="A3" s="25">
        <v>2008</v>
      </c>
      <c r="B3" s="33">
        <v>-4.8</v>
      </c>
      <c r="C3" s="27"/>
      <c r="D3" s="27">
        <f>B3+C3</f>
        <v>-4.8</v>
      </c>
      <c r="E3" s="27">
        <f>B3</f>
        <v>-4.8</v>
      </c>
      <c r="F3" s="27">
        <f>C3</f>
        <v>0</v>
      </c>
      <c r="G3" s="27">
        <f>D3</f>
        <v>-4.8</v>
      </c>
    </row>
    <row r="4" ht="20.05" customHeight="1">
      <c r="A4" s="31">
        <f>1+$A3</f>
        <v>2009</v>
      </c>
      <c r="B4" s="13">
        <v>-12.65</v>
      </c>
      <c r="C4" s="14">
        <v>420.4</v>
      </c>
      <c r="D4" s="14">
        <f>B4+C4</f>
        <v>407.75</v>
      </c>
      <c r="E4" s="14">
        <f>B4+E3</f>
        <v>-17.45</v>
      </c>
      <c r="F4" s="14">
        <f>C4+F3</f>
        <v>420.4</v>
      </c>
      <c r="G4" s="14">
        <f>D4+G3</f>
        <v>402.95</v>
      </c>
    </row>
    <row r="5" ht="20.05" customHeight="1">
      <c r="A5" s="31">
        <f>1+$A4</f>
        <v>2010</v>
      </c>
      <c r="B5" s="13">
        <f>-163+3109+1000</f>
        <v>3946</v>
      </c>
      <c r="C5" s="14">
        <f>4183-147</f>
        <v>4036</v>
      </c>
      <c r="D5" s="14">
        <f>B5+C5</f>
        <v>7982</v>
      </c>
      <c r="E5" s="14">
        <f>B5+E4</f>
        <v>3928.55</v>
      </c>
      <c r="F5" s="14">
        <f>C5+F4</f>
        <v>4456.4</v>
      </c>
      <c r="G5" s="14">
        <f>D5+G4</f>
        <v>8384.950000000001</v>
      </c>
    </row>
    <row r="6" ht="20.05" customHeight="1">
      <c r="A6" s="31">
        <f>1+$A5</f>
        <v>2011</v>
      </c>
      <c r="B6" s="13">
        <v>626</v>
      </c>
      <c r="C6" s="14">
        <v>-2.5</v>
      </c>
      <c r="D6" s="14">
        <f>B6+C6</f>
        <v>623.5</v>
      </c>
      <c r="E6" s="14">
        <f>B6+E5</f>
        <v>4554.55</v>
      </c>
      <c r="F6" s="14">
        <f>C6+F5</f>
        <v>4453.9</v>
      </c>
      <c r="G6" s="14">
        <f>D6+G5</f>
        <v>9008.450000000001</v>
      </c>
    </row>
    <row r="7" ht="20.05" customHeight="1">
      <c r="A7" s="31">
        <f>1+$A6</f>
        <v>2012</v>
      </c>
      <c r="B7" s="13">
        <f>-617-1238+1176</f>
        <v>-679</v>
      </c>
      <c r="C7" s="14"/>
      <c r="D7" s="14">
        <f>B7+C7</f>
        <v>-679</v>
      </c>
      <c r="E7" s="14">
        <f>B7+E6</f>
        <v>3875.55</v>
      </c>
      <c r="F7" s="14">
        <f>C7+F6</f>
        <v>4453.9</v>
      </c>
      <c r="G7" s="14">
        <f>D7+G6</f>
        <v>8329.450000000001</v>
      </c>
    </row>
    <row r="8" ht="20.05" customHeight="1">
      <c r="A8" s="31">
        <f>1+$A7</f>
        <v>2013</v>
      </c>
      <c r="B8" s="13">
        <f>-1650+250</f>
        <v>-1400</v>
      </c>
      <c r="C8" s="14"/>
      <c r="D8" s="14">
        <f>B8+C8</f>
        <v>-1400</v>
      </c>
      <c r="E8" s="14">
        <f>B8+E7</f>
        <v>2475.55</v>
      </c>
      <c r="F8" s="14">
        <f>C8+F7</f>
        <v>4453.9</v>
      </c>
      <c r="G8" s="14">
        <f>D8+G7</f>
        <v>6929.45</v>
      </c>
    </row>
    <row r="9" ht="20.05" customHeight="1">
      <c r="A9" s="31">
        <f>1+$A8</f>
        <v>2014</v>
      </c>
      <c r="B9" s="13">
        <f>-2647+1659</f>
        <v>-988</v>
      </c>
      <c r="C9" s="14">
        <v>-460</v>
      </c>
      <c r="D9" s="14">
        <f>B9+C9</f>
        <v>-1448</v>
      </c>
      <c r="E9" s="14">
        <f>B9+E8</f>
        <v>1487.55</v>
      </c>
      <c r="F9" s="14">
        <f>C9+F8</f>
        <v>3993.9</v>
      </c>
      <c r="G9" s="14">
        <f>D9+G8</f>
        <v>5481.45</v>
      </c>
    </row>
    <row r="10" ht="20.05" customHeight="1">
      <c r="A10" s="31">
        <f>1+$A9</f>
        <v>2015</v>
      </c>
      <c r="B10" s="13">
        <v>-700</v>
      </c>
      <c r="C10" s="14">
        <v>-851</v>
      </c>
      <c r="D10" s="14">
        <f>B10+C10</f>
        <v>-1551</v>
      </c>
      <c r="E10" s="14">
        <f>B10+E9</f>
        <v>787.55</v>
      </c>
      <c r="F10" s="14">
        <f>C10+F9</f>
        <v>3142.9</v>
      </c>
      <c r="G10" s="14">
        <f>D10+G9</f>
        <v>3930.45</v>
      </c>
    </row>
    <row r="11" ht="20.05" customHeight="1">
      <c r="A11" s="31">
        <f>1+$A10</f>
        <v>2016</v>
      </c>
      <c r="B11" s="13"/>
      <c r="C11" s="14">
        <v>-1247</v>
      </c>
      <c r="D11" s="14">
        <f>B11+C11</f>
        <v>-1247</v>
      </c>
      <c r="E11" s="14">
        <f>B11+E10</f>
        <v>787.55</v>
      </c>
      <c r="F11" s="14">
        <f>C11+F10</f>
        <v>1895.9</v>
      </c>
      <c r="G11" s="14">
        <f>D11+G10</f>
        <v>2683.45</v>
      </c>
    </row>
    <row r="12" ht="20.05" customHeight="1">
      <c r="A12" s="31">
        <f>1+$A11</f>
        <v>2017</v>
      </c>
      <c r="B12" s="13"/>
      <c r="C12" s="14">
        <v>-1414</v>
      </c>
      <c r="D12" s="14">
        <f>B12+C12</f>
        <v>-1414</v>
      </c>
      <c r="E12" s="14">
        <f>B12+E11</f>
        <v>787.55</v>
      </c>
      <c r="F12" s="14">
        <f>C12+F11</f>
        <v>481.9</v>
      </c>
      <c r="G12" s="14">
        <f>D12+G11</f>
        <v>1269.45</v>
      </c>
    </row>
    <row r="13" ht="20.05" customHeight="1">
      <c r="A13" s="31">
        <f>1+$A12</f>
        <v>2018</v>
      </c>
      <c r="B13" s="13"/>
      <c r="C13" s="14">
        <f>-1335-324</f>
        <v>-1659</v>
      </c>
      <c r="D13" s="14">
        <f>B13+C13</f>
        <v>-1659</v>
      </c>
      <c r="E13" s="14">
        <f>B13+E12</f>
        <v>787.55</v>
      </c>
      <c r="F13" s="14">
        <f>C13+F12</f>
        <v>-1177.1</v>
      </c>
      <c r="G13" s="14">
        <f>D13+G12</f>
        <v>-389.55</v>
      </c>
    </row>
    <row r="14" ht="20.05" customHeight="1">
      <c r="A14" s="31">
        <f>1+$A13</f>
        <v>2019</v>
      </c>
      <c r="B14" s="13"/>
      <c r="C14" s="14">
        <f>-482-934</f>
        <v>-1416</v>
      </c>
      <c r="D14" s="14">
        <f>B14+C14</f>
        <v>-1416</v>
      </c>
      <c r="E14" s="14">
        <f>B14+E13</f>
        <v>787.55</v>
      </c>
      <c r="F14" s="14">
        <f>C14+F13</f>
        <v>-2593.1</v>
      </c>
      <c r="G14" s="14">
        <f>D14+G13</f>
        <v>-1805.55</v>
      </c>
    </row>
    <row r="15" ht="20.05" customHeight="1">
      <c r="A15" s="31">
        <f>1+$A14</f>
        <v>2020</v>
      </c>
      <c r="B15" s="13">
        <v>1011</v>
      </c>
      <c r="C15" s="14">
        <v>-337</v>
      </c>
      <c r="D15" s="14">
        <f>B15+C15</f>
        <v>674</v>
      </c>
      <c r="E15" s="14">
        <f>B15+E14</f>
        <v>1798.55</v>
      </c>
      <c r="F15" s="14">
        <f>C15+F14</f>
        <v>-2930.1</v>
      </c>
      <c r="G15" s="14">
        <f>D15+G14</f>
        <v>-1131.55</v>
      </c>
    </row>
    <row r="16" ht="20.05" customHeight="1">
      <c r="A16" s="31">
        <f>1+$A15</f>
        <v>2021</v>
      </c>
      <c r="B16" s="13">
        <v>-1011</v>
      </c>
      <c r="C16" s="14">
        <v>-120</v>
      </c>
      <c r="D16" s="14">
        <f>B16+C16</f>
        <v>-1131</v>
      </c>
      <c r="E16" s="14">
        <f>B16+E15</f>
        <v>787.55</v>
      </c>
      <c r="F16" s="14">
        <f>C16+F15</f>
        <v>-3050.1</v>
      </c>
      <c r="G16" s="14">
        <f>D16+G15</f>
        <v>-2262.55</v>
      </c>
    </row>
    <row r="18" ht="27.65" customHeight="1">
      <c r="H18" t="s" s="2">
        <v>61</v>
      </c>
      <c r="I18" s="2"/>
      <c r="J18" s="2"/>
      <c r="K18" s="2"/>
      <c r="L18" s="2"/>
      <c r="M18" s="2"/>
      <c r="N18" s="2"/>
      <c r="O18" s="2"/>
      <c r="P18" s="2"/>
    </row>
    <row r="19" ht="20.25" customHeight="1">
      <c r="H19" s="4"/>
      <c r="I19" s="4"/>
      <c r="J19" s="4"/>
      <c r="K19" s="4"/>
      <c r="L19" s="4"/>
      <c r="M19" s="4"/>
      <c r="N19" s="4"/>
      <c r="O19" s="4"/>
      <c r="P19" s="4"/>
    </row>
    <row r="20" ht="32.25" customHeight="1">
      <c r="H20" s="39"/>
      <c r="I20" t="s" s="40">
        <v>58</v>
      </c>
      <c r="J20" t="s" s="41">
        <v>62</v>
      </c>
      <c r="K20" s="8"/>
      <c r="L20" s="8"/>
      <c r="M20" s="8"/>
      <c r="N20" s="8"/>
      <c r="O20" s="8"/>
      <c r="P20" s="8"/>
    </row>
    <row r="21" ht="20.05" customHeight="1">
      <c r="H21" s="29"/>
      <c r="I21" s="42">
        <v>44593</v>
      </c>
      <c r="J21" s="21">
        <v>19</v>
      </c>
      <c r="K21" s="21">
        <v>2022</v>
      </c>
      <c r="L21" s="22"/>
      <c r="M21" s="22"/>
      <c r="N21" s="22"/>
      <c r="O21" s="22"/>
      <c r="P21" s="22"/>
    </row>
    <row r="22" ht="20.05" customHeight="1">
      <c r="H22" s="29"/>
      <c r="I22" t="s" s="43">
        <v>63</v>
      </c>
      <c r="J22" s="21">
        <f>$A3</f>
        <v>2008</v>
      </c>
      <c r="K22" s="22"/>
      <c r="L22" s="22"/>
      <c r="M22" s="22"/>
      <c r="N22" s="22"/>
      <c r="O22" s="22"/>
      <c r="P22" s="22"/>
    </row>
    <row r="23" ht="32.05" customHeight="1">
      <c r="H23" s="29"/>
      <c r="I23" t="s" s="43">
        <v>64</v>
      </c>
      <c r="J23" s="21">
        <f>(2021-J22)*4-1</f>
        <v>51</v>
      </c>
      <c r="K23" s="22"/>
      <c r="L23" s="22"/>
      <c r="M23" s="22"/>
      <c r="N23" s="22"/>
      <c r="O23" s="22"/>
      <c r="P23" s="22"/>
    </row>
    <row r="24" ht="20.05" customHeight="1">
      <c r="H24" s="29"/>
      <c r="I24" t="s" s="43">
        <v>12</v>
      </c>
      <c r="J24" s="14">
        <f>E16</f>
        <v>787.55</v>
      </c>
      <c r="K24" t="s" s="44">
        <f>O25</f>
        <v>65</v>
      </c>
      <c r="L24" t="s" s="44">
        <f>IF(J24&gt;0,"raised","paid")</f>
        <v>66</v>
      </c>
      <c r="M24" s="22"/>
      <c r="N24" s="22"/>
      <c r="O24" s="22"/>
      <c r="P24" s="22"/>
    </row>
    <row r="25" ht="32.05" customHeight="1">
      <c r="H25" s="29"/>
      <c r="I25" t="s" s="43">
        <f>I20</f>
        <v>58</v>
      </c>
      <c r="J25" t="s" s="44">
        <v>67</v>
      </c>
      <c r="K25" t="s" s="44">
        <f>IF(N25&gt;0,"raised","paid")</f>
        <v>66</v>
      </c>
      <c r="L25" t="s" s="44">
        <v>68</v>
      </c>
      <c r="M25" t="s" s="44">
        <v>69</v>
      </c>
      <c r="N25" s="14">
        <f>AVERAGE(B3:B16)</f>
        <v>78.755</v>
      </c>
      <c r="O25" t="s" s="44">
        <v>65</v>
      </c>
      <c r="P25" t="s" s="44">
        <v>70</v>
      </c>
    </row>
    <row r="26" ht="32.05" customHeight="1">
      <c r="H26" s="29"/>
      <c r="I26" t="s" s="43">
        <v>71</v>
      </c>
      <c r="J26" t="s" s="44">
        <f>L25</f>
        <v>68</v>
      </c>
      <c r="K26" t="s" s="44">
        <v>72</v>
      </c>
      <c r="L26" t="s" s="44">
        <f>IF(N26&gt;0,"raised","paid")</f>
        <v>73</v>
      </c>
      <c r="M26" t="s" s="44">
        <v>69</v>
      </c>
      <c r="N26" s="14">
        <f>AVERAGE(B12:B16)</f>
        <v>0</v>
      </c>
      <c r="O26" t="s" s="44">
        <v>65</v>
      </c>
      <c r="P26" t="s" s="44">
        <v>70</v>
      </c>
    </row>
    <row r="27" ht="44.05" customHeight="1">
      <c r="H27" s="29"/>
      <c r="I27" t="s" s="43">
        <v>74</v>
      </c>
      <c r="J27" t="s" s="44">
        <v>75</v>
      </c>
      <c r="K27" s="14">
        <f>MAX(E3:E16)</f>
        <v>4554.55</v>
      </c>
      <c r="L27" t="s" s="44">
        <f>O26</f>
        <v>65</v>
      </c>
      <c r="M27" t="s" s="44">
        <v>76</v>
      </c>
      <c r="N27" s="21">
        <f>$A6</f>
        <v>2011</v>
      </c>
      <c r="O27" s="22"/>
      <c r="P27" s="22"/>
    </row>
    <row r="28" ht="32.05" customHeight="1">
      <c r="H28" s="29"/>
      <c r="I28" t="s" s="43">
        <v>77</v>
      </c>
      <c r="J28" t="s" s="44">
        <f>J26</f>
        <v>68</v>
      </c>
      <c r="K28" t="s" s="44">
        <v>78</v>
      </c>
      <c r="L28" t="s" s="44">
        <v>79</v>
      </c>
      <c r="M28" t="s" s="44">
        <f>IF(O28&lt;K27,"down","up")</f>
        <v>80</v>
      </c>
      <c r="N28" t="s" s="44">
        <v>81</v>
      </c>
      <c r="O28" s="14">
        <f>E16</f>
        <v>787.55</v>
      </c>
      <c r="P28" t="s" s="44">
        <f>O26</f>
        <v>65</v>
      </c>
    </row>
    <row r="29" ht="20.05" customHeight="1">
      <c r="H29" s="29"/>
      <c r="I29" t="s" s="43">
        <v>26</v>
      </c>
      <c r="J29" s="14">
        <f>F16</f>
        <v>-3050.1</v>
      </c>
      <c r="K29" t="s" s="44">
        <f>P28</f>
        <v>65</v>
      </c>
      <c r="L29" t="s" s="44">
        <f>IF(J29&gt;0,"raised","paid")</f>
        <v>73</v>
      </c>
      <c r="M29" s="22"/>
      <c r="N29" s="22"/>
      <c r="O29" s="22"/>
      <c r="P29" s="22"/>
    </row>
    <row r="30" ht="32.05" customHeight="1">
      <c r="H30" s="29"/>
      <c r="I30" t="s" s="43">
        <f>I25</f>
        <v>58</v>
      </c>
      <c r="J30" t="s" s="44">
        <v>67</v>
      </c>
      <c r="K30" t="s" s="44">
        <f>IF(N30&gt;0,"raised","paid")</f>
        <v>73</v>
      </c>
      <c r="L30" t="s" s="44">
        <v>82</v>
      </c>
      <c r="M30" t="s" s="44">
        <f>M25</f>
        <v>69</v>
      </c>
      <c r="N30" s="14">
        <f>AVERAGE(C3:C16)</f>
        <v>-277.281818181818</v>
      </c>
      <c r="O30" t="s" s="44">
        <f>O25</f>
        <v>65</v>
      </c>
      <c r="P30" t="s" s="44">
        <f>P25</f>
        <v>70</v>
      </c>
    </row>
    <row r="31" ht="32.05" customHeight="1">
      <c r="H31" s="29"/>
      <c r="I31" t="s" s="43">
        <v>71</v>
      </c>
      <c r="J31" t="s" s="44">
        <f>L30</f>
        <v>82</v>
      </c>
      <c r="K31" t="s" s="44">
        <v>83</v>
      </c>
      <c r="L31" t="s" s="44">
        <f>IF(N31&gt;0,"raised","paid")</f>
        <v>73</v>
      </c>
      <c r="M31" t="s" s="44">
        <v>69</v>
      </c>
      <c r="N31" s="14">
        <f>AVERAGE(C12:C16)</f>
        <v>-989.2</v>
      </c>
      <c r="O31" t="s" s="44">
        <v>65</v>
      </c>
      <c r="P31" t="s" s="44">
        <v>70</v>
      </c>
    </row>
    <row r="32" ht="44.05" customHeight="1">
      <c r="H32" s="29"/>
      <c r="I32" t="s" s="43">
        <v>84</v>
      </c>
      <c r="J32" t="s" s="44">
        <v>75</v>
      </c>
      <c r="K32" s="14">
        <f>MAX(F3:F16)</f>
        <v>4456.4</v>
      </c>
      <c r="L32" t="s" s="44">
        <f>O31</f>
        <v>65</v>
      </c>
      <c r="M32" t="s" s="44">
        <v>76</v>
      </c>
      <c r="N32" s="21">
        <f>$A5</f>
        <v>2010</v>
      </c>
      <c r="O32" s="22"/>
      <c r="P32" s="22"/>
    </row>
    <row r="33" ht="32.05" customHeight="1">
      <c r="H33" s="29"/>
      <c r="I33" t="s" s="43">
        <v>77</v>
      </c>
      <c r="J33" t="s" s="44">
        <f>J31</f>
        <v>82</v>
      </c>
      <c r="K33" t="s" s="44">
        <v>78</v>
      </c>
      <c r="L33" t="s" s="44">
        <v>85</v>
      </c>
      <c r="M33" t="s" s="44">
        <f>IF(O33&lt;K32,"down","up")</f>
        <v>80</v>
      </c>
      <c r="N33" t="s" s="44">
        <v>81</v>
      </c>
      <c r="O33" s="14">
        <f>F16</f>
        <v>-3050.1</v>
      </c>
      <c r="P33" t="s" s="44">
        <f>O31</f>
        <v>65</v>
      </c>
    </row>
    <row r="34" ht="20.05" customHeight="1">
      <c r="H34" s="29"/>
      <c r="I34" t="s" s="43">
        <v>86</v>
      </c>
      <c r="J34" s="14">
        <f>G16</f>
        <v>-2262.55</v>
      </c>
      <c r="K34" t="s" s="44">
        <f>P33</f>
        <v>65</v>
      </c>
      <c r="L34" t="s" s="44">
        <f>IF(J34&gt;0,"raised","paid")</f>
        <v>73</v>
      </c>
      <c r="M34" s="22"/>
      <c r="N34" s="22"/>
      <c r="O34" s="22"/>
      <c r="P34" s="22"/>
    </row>
    <row r="35" ht="32.05" customHeight="1">
      <c r="H35" s="29"/>
      <c r="I35" t="s" s="43">
        <f>I30</f>
        <v>58</v>
      </c>
      <c r="J35" t="s" s="44">
        <v>67</v>
      </c>
      <c r="K35" t="s" s="44">
        <f>IF(N35&gt;0,"raised","paid")</f>
        <v>73</v>
      </c>
      <c r="L35" t="s" s="44">
        <v>87</v>
      </c>
      <c r="M35" t="s" s="44">
        <f>M30</f>
        <v>69</v>
      </c>
      <c r="N35" s="14">
        <f>AVERAGE(D3:D16)</f>
        <v>-161.610714285714</v>
      </c>
      <c r="O35" t="s" s="44">
        <f>O30</f>
        <v>65</v>
      </c>
      <c r="P35" t="s" s="44">
        <f>P30</f>
        <v>70</v>
      </c>
    </row>
    <row r="36" ht="32.05" customHeight="1">
      <c r="H36" s="29"/>
      <c r="I36" t="s" s="43">
        <v>71</v>
      </c>
      <c r="J36" t="s" s="44">
        <f>L35</f>
        <v>87</v>
      </c>
      <c r="K36" t="s" s="44">
        <v>83</v>
      </c>
      <c r="L36" t="s" s="44">
        <f>IF(N36&gt;0,"raised","paid")</f>
        <v>73</v>
      </c>
      <c r="M36" t="s" s="44">
        <v>69</v>
      </c>
      <c r="N36" s="14">
        <f>AVERAGE(D12:D16)</f>
        <v>-989.2</v>
      </c>
      <c r="O36" t="s" s="44">
        <v>65</v>
      </c>
      <c r="P36" t="s" s="44">
        <v>70</v>
      </c>
    </row>
    <row r="37" ht="44.05" customHeight="1">
      <c r="H37" s="29"/>
      <c r="I37" t="s" s="43">
        <v>88</v>
      </c>
      <c r="J37" t="s" s="44">
        <v>75</v>
      </c>
      <c r="K37" s="14">
        <f>MAX(G3:G16)</f>
        <v>9008.450000000001</v>
      </c>
      <c r="L37" t="s" s="44">
        <f>O36</f>
        <v>65</v>
      </c>
      <c r="M37" t="s" s="44">
        <v>76</v>
      </c>
      <c r="N37" s="21">
        <f>$A6</f>
        <v>2011</v>
      </c>
      <c r="O37" s="22"/>
      <c r="P37" s="22"/>
    </row>
    <row r="38" ht="32.05" customHeight="1">
      <c r="H38" s="29"/>
      <c r="I38" t="s" s="43">
        <v>77</v>
      </c>
      <c r="J38" t="s" s="44">
        <f>J36</f>
        <v>87</v>
      </c>
      <c r="K38" t="s" s="44">
        <v>78</v>
      </c>
      <c r="L38" t="s" s="44">
        <v>85</v>
      </c>
      <c r="M38" t="s" s="44">
        <f>IF(O38&lt;K37,"down","up")</f>
        <v>80</v>
      </c>
      <c r="N38" t="s" s="44">
        <v>81</v>
      </c>
      <c r="O38" s="14">
        <f>G16</f>
        <v>-2262.55</v>
      </c>
      <c r="P38" t="s" s="44">
        <f>O36</f>
        <v>65</v>
      </c>
    </row>
  </sheetData>
  <mergeCells count="2">
    <mergeCell ref="A1:G1"/>
    <mergeCell ref="H18:P1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