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<sst xmlns="http://schemas.openxmlformats.org/spreadsheetml/2006/main" uniqueCount="94">
  <si>
    <t>Financial model</t>
  </si>
  <si>
    <t>Rpbn</t>
  </si>
  <si>
    <t>4Q 2022</t>
  </si>
  <si>
    <t xml:space="preserve">Cashflow </t>
  </si>
  <si>
    <t>Growth</t>
  </si>
  <si>
    <t>Sales</t>
  </si>
  <si>
    <t>Cost ratio</t>
  </si>
  <si>
    <t>Cash costs</t>
  </si>
  <si>
    <t xml:space="preserve">Operating </t>
  </si>
  <si>
    <t xml:space="preserve">Investment </t>
  </si>
  <si>
    <t>Leases</t>
  </si>
  <si>
    <t xml:space="preserve">Finance </t>
  </si>
  <si>
    <t xml:space="preserve">Liabilities </t>
  </si>
  <si>
    <t xml:space="preserve">Revolver </t>
  </si>
  <si>
    <t>Payout</t>
  </si>
  <si>
    <t>Equity</t>
  </si>
  <si>
    <t xml:space="preserve">Before revolver </t>
  </si>
  <si>
    <t>Beginning</t>
  </si>
  <si>
    <t>Change</t>
  </si>
  <si>
    <t>Ending</t>
  </si>
  <si>
    <t>Profit</t>
  </si>
  <si>
    <t>Non cash costs</t>
  </si>
  <si>
    <t xml:space="preserve">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</si>
  <si>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</si>
  <si>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</si>
  <si>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</si>
  <si>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</si>
  <si>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</si>
  <si>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</si>
  <si>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>Net cash</t>
  </si>
  <si>
    <t xml:space="preserve">Valuation </t>
  </si>
  <si>
    <t>Capital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</si>
  <si>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</si>
  <si>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</si>
  <si>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</si>
  <si>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</si>
  <si>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</si>
  <si>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</si>
  <si>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</si>
  <si>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</si>
  <si>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</si>
  <si>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</si>
  <si>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</si>
  <si>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</si>
  <si>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</si>
  <si>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FX loss (gain)</t>
  </si>
  <si>
    <t xml:space="preserve">Net profit </t>
  </si>
  <si>
    <t xml:space="preserve">Sales growth </t>
  </si>
  <si>
    <t xml:space="preserve">Cost ratio </t>
  </si>
  <si>
    <t>Receipts</t>
  </si>
  <si>
    <t>Liabilities</t>
  </si>
  <si>
    <t>Finance</t>
  </si>
  <si>
    <t xml:space="preserve">Free cashflow </t>
  </si>
  <si>
    <t xml:space="preserve">Capital </t>
  </si>
  <si>
    <t>Quarters</t>
  </si>
  <si>
    <t>Cash</t>
  </si>
  <si>
    <t>Assetd</t>
  </si>
  <si>
    <t xml:space="preserve">Net cash </t>
  </si>
  <si>
    <t>Share price</t>
  </si>
  <si>
    <t>LPKR</t>
  </si>
  <si>
    <t>Previous Target</t>
  </si>
  <si>
    <t xml:space="preserve">Total </t>
  </si>
  <si>
    <t>Table 1-1</t>
  </si>
  <si>
    <t>Market value</t>
  </si>
  <si>
    <t xml:space="preserve">capital history </t>
  </si>
  <si>
    <t xml:space="preserve">billion rupiah </t>
  </si>
  <si>
    <t>raised</t>
  </si>
  <si>
    <t xml:space="preserve">Start date </t>
  </si>
  <si>
    <t xml:space="preserve">Number of quarters </t>
  </si>
  <si>
    <t>Market value Rpbn</t>
  </si>
  <si>
    <t xml:space="preserve">has </t>
  </si>
  <si>
    <t xml:space="preserve">liabilities </t>
  </si>
  <si>
    <t xml:space="preserve">by an average </t>
  </si>
  <si>
    <t>every year</t>
  </si>
  <si>
    <t>of market value</t>
  </si>
  <si>
    <t xml:space="preserve">In the last 5 years </t>
  </si>
  <si>
    <t>were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</si>
  <si>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</si>
  <si>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</si>
  <si>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</si>
  <si>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</si>
  <si>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</si>
  <si>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</si>
  <si>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up</t>
  </si>
  <si>
    <t>to</t>
  </si>
  <si>
    <t xml:space="preserve">equity </t>
  </si>
  <si>
    <t>was</t>
  </si>
  <si>
    <t xml:space="preserve">The peak in cumulative equity </t>
  </si>
  <si>
    <t>is</t>
  </si>
  <si>
    <t>down</t>
  </si>
  <si>
    <t xml:space="preserve">Total capital </t>
  </si>
  <si>
    <t xml:space="preserve">total capital </t>
  </si>
  <si>
    <t xml:space="preserve">The peak in cumulative total capital </t>
  </si>
  <si>
    <t>paid every year since 2019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</si>
</sst>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%"/>
    <numFmt numFmtId="60" formatCode="#,##0.0"/>
    <numFmt numFmtId="61" formatCode="[$IDR]0"/>
    <numFmt numFmtId="62" formatCode="mmm d, yyyy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3"/>
      <name val="Arial"/>
    </font>
    <font>
      <sz val="12"/>
      <color indexed="8"/>
      <name val="Helvetica"/>
    </font>
    <font>
      <b val="1"/>
      <sz val="22"/>
      <color indexed="8"/>
      <name val="Helvetica Neue"/>
    </font>
    <font>
      <b val="1"/>
      <sz val="22"/>
      <color indexed="17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3" fontId="3" borderId="7" applyNumberFormat="1" applyFont="1" applyFill="0" applyBorder="1" applyAlignment="1" applyProtection="0">
      <alignment horizontal="right" vertical="center" wrapText="1" readingOrder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3" applyNumberFormat="1" applyFont="1" applyFill="0" applyBorder="1" applyAlignment="1" applyProtection="0">
      <alignment vertical="top" wrapText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323232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6717"/>
          <c:y val="0.0446026"/>
          <c:w val="0.813078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'!$F$3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'!$B$4:$B$20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 '!$F$4:$F$20</c:f>
              <c:numCache>
                <c:ptCount val="17"/>
                <c:pt idx="0">
                  <c:v>524.000000</c:v>
                </c:pt>
                <c:pt idx="1">
                  <c:v>2161.000000</c:v>
                </c:pt>
                <c:pt idx="2">
                  <c:v>2464.000000</c:v>
                </c:pt>
                <c:pt idx="3">
                  <c:v>2404.000000</c:v>
                </c:pt>
                <c:pt idx="4">
                  <c:v>2465.000000</c:v>
                </c:pt>
                <c:pt idx="5">
                  <c:v>3098.000000</c:v>
                </c:pt>
                <c:pt idx="6">
                  <c:v>3395.000000</c:v>
                </c:pt>
                <c:pt idx="7">
                  <c:v>5487.000000</c:v>
                </c:pt>
                <c:pt idx="8">
                  <c:v>5612.000000</c:v>
                </c:pt>
                <c:pt idx="9">
                  <c:v>7417.000000</c:v>
                </c:pt>
                <c:pt idx="10">
                  <c:v>8683.000000</c:v>
                </c:pt>
                <c:pt idx="11">
                  <c:v>9882.000000</c:v>
                </c:pt>
                <c:pt idx="12">
                  <c:v>9830.000000</c:v>
                </c:pt>
                <c:pt idx="13">
                  <c:v>9977.000000</c:v>
                </c:pt>
                <c:pt idx="14">
                  <c:v>7796.000000</c:v>
                </c:pt>
                <c:pt idx="15">
                  <c:v>9217.000000</c:v>
                </c:pt>
                <c:pt idx="16">
                  <c:v>12466.500000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'!$G$3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'!$B$4:$B$20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 '!$G$4:$G$20</c:f>
              <c:numCache>
                <c:ptCount val="17"/>
                <c:pt idx="0">
                  <c:v>889.000000</c:v>
                </c:pt>
                <c:pt idx="1">
                  <c:v>847.000000</c:v>
                </c:pt>
                <c:pt idx="2">
                  <c:v>1734.000000</c:v>
                </c:pt>
                <c:pt idx="3">
                  <c:v>1734.000000</c:v>
                </c:pt>
                <c:pt idx="4">
                  <c:v>1734.000000</c:v>
                </c:pt>
                <c:pt idx="5">
                  <c:v>4057.000000</c:v>
                </c:pt>
                <c:pt idx="6">
                  <c:v>4851.000000</c:v>
                </c:pt>
                <c:pt idx="7">
                  <c:v>4510.000000</c:v>
                </c:pt>
                <c:pt idx="8">
                  <c:v>5548.000000</c:v>
                </c:pt>
                <c:pt idx="9">
                  <c:v>5199.000000</c:v>
                </c:pt>
                <c:pt idx="10">
                  <c:v>4681.000000</c:v>
                </c:pt>
                <c:pt idx="11">
                  <c:v>5088.000000</c:v>
                </c:pt>
                <c:pt idx="12">
                  <c:v>11026.000000</c:v>
                </c:pt>
                <c:pt idx="13">
                  <c:v>10950.000000</c:v>
                </c:pt>
                <c:pt idx="14">
                  <c:v>22854.000000</c:v>
                </c:pt>
                <c:pt idx="15">
                  <c:v>22854.000000</c:v>
                </c:pt>
                <c:pt idx="16">
                  <c:v>22601.400000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'!$H$3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'!$B$4:$B$20</c:f>
              <c:strCach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strCache>
            </c:strRef>
          </c:cat>
          <c:val>
            <c:numRef>
              <c:f>'Capital '!$H$4:$H$20</c:f>
              <c:numCache>
                <c:ptCount val="17"/>
                <c:pt idx="0">
                  <c:v>1413.000000</c:v>
                </c:pt>
                <c:pt idx="1">
                  <c:v>3008.000000</c:v>
                </c:pt>
                <c:pt idx="2">
                  <c:v>4198.000000</c:v>
                </c:pt>
                <c:pt idx="3">
                  <c:v>4138.000000</c:v>
                </c:pt>
                <c:pt idx="4">
                  <c:v>4199.000000</c:v>
                </c:pt>
                <c:pt idx="5">
                  <c:v>7155.000000</c:v>
                </c:pt>
                <c:pt idx="6">
                  <c:v>8246.000000</c:v>
                </c:pt>
                <c:pt idx="7">
                  <c:v>9997.000000</c:v>
                </c:pt>
                <c:pt idx="8">
                  <c:v>11160.000000</c:v>
                </c:pt>
                <c:pt idx="9">
                  <c:v>12616.000000</c:v>
                </c:pt>
                <c:pt idx="10">
                  <c:v>13364.000000</c:v>
                </c:pt>
                <c:pt idx="11">
                  <c:v>14970.000000</c:v>
                </c:pt>
                <c:pt idx="12">
                  <c:v>20856.000000</c:v>
                </c:pt>
                <c:pt idx="13">
                  <c:v>20927.000000</c:v>
                </c:pt>
                <c:pt idx="14">
                  <c:v>30650.000000</c:v>
                </c:pt>
                <c:pt idx="15">
                  <c:v>32071.000000</c:v>
                </c:pt>
                <c:pt idx="16">
                  <c:v>35067.900000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10000"/>
        <c:minorUnit val="500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91108"/>
          <c:y val="0.0745706"/>
          <c:w val="0.363192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573964</xdr:colOff>
      <xdr:row>1</xdr:row>
      <xdr:rowOff>341821</xdr:rowOff>
    </xdr:from>
    <xdr:to>
      <xdr:col>13</xdr:col>
      <xdr:colOff>900246</xdr:colOff>
      <xdr:row>49</xdr:row>
      <xdr:rowOff>99349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85664" y="817436"/>
          <a:ext cx="9038483" cy="121063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783873</xdr:colOff>
      <xdr:row>22</xdr:row>
      <xdr:rowOff>158489</xdr:rowOff>
    </xdr:from>
    <xdr:to>
      <xdr:col>5</xdr:col>
      <xdr:colOff>695290</xdr:colOff>
      <xdr:row>32</xdr:row>
      <xdr:rowOff>182174</xdr:rowOff>
    </xdr:to>
    <xdr:graphicFrame>
      <xdr:nvGraphicFramePr>
        <xdr:cNvPr id="4" name="2D Line Chart"/>
        <xdr:cNvGraphicFramePr/>
      </xdr:nvGraphicFramePr>
      <xdr:xfrm>
        <a:off x="1888773" y="8091544"/>
        <a:ext cx="3670618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2</xdr:col>
      <xdr:colOff>189316</xdr:colOff>
      <xdr:row>21</xdr:row>
      <xdr:rowOff>83525</xdr:rowOff>
    </xdr:from>
    <xdr:to>
      <xdr:col>5</xdr:col>
      <xdr:colOff>553247</xdr:colOff>
      <xdr:row>22</xdr:row>
      <xdr:rowOff>234227</xdr:rowOff>
    </xdr:to>
    <xdr:sp>
      <xdr:nvSpPr>
        <xdr:cNvPr id="5" name="LPKR 35 trillion raised"/>
        <xdr:cNvSpPr txBox="1"/>
      </xdr:nvSpPr>
      <xdr:spPr>
        <a:xfrm>
          <a:off x="2234016" y="7665425"/>
          <a:ext cx="3183332" cy="50185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LPKR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35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raised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85156" style="1" customWidth="1"/>
    <col min="2" max="2" width="15.9688" style="1" customWidth="1"/>
    <col min="3" max="6" width="9.57812" style="1" customWidth="1"/>
    <col min="7" max="16384" width="16.3516" style="1" customWidth="1"/>
  </cols>
  <sheetData>
    <row r="1" ht="37.4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s="4"/>
      <c r="D3" s="4"/>
      <c r="E3" t="s" s="5">
        <v>2</v>
      </c>
      <c r="F3" s="4"/>
    </row>
    <row r="4" ht="20.3" customHeight="1">
      <c r="B4" t="s" s="6">
        <v>3</v>
      </c>
      <c r="C4" s="7">
        <f>AVERAGE('Sales'!H29:H32)</f>
        <v>0.0480317864119521</v>
      </c>
      <c r="D4" s="8"/>
      <c r="E4" s="8"/>
      <c r="F4" s="9">
        <f>AVERAGE(C5:F5)</f>
        <v>0.0525</v>
      </c>
    </row>
    <row r="5" ht="20.1" customHeight="1">
      <c r="B5" t="s" s="10">
        <v>4</v>
      </c>
      <c r="C5" s="11">
        <v>0.1</v>
      </c>
      <c r="D5" s="12">
        <v>0.05</v>
      </c>
      <c r="E5" s="12">
        <v>0.03</v>
      </c>
      <c r="F5" s="12">
        <v>0.03</v>
      </c>
    </row>
    <row r="6" ht="20.1" customHeight="1">
      <c r="B6" t="s" s="10">
        <v>5</v>
      </c>
      <c r="C6" s="13">
        <f>'Sales'!C32*(1+C5)</f>
        <v>3669.49</v>
      </c>
      <c r="D6" s="14">
        <f>C6*(1+D5)</f>
        <v>3852.9645</v>
      </c>
      <c r="E6" s="14">
        <f>D6*(1+E5)</f>
        <v>3968.553435</v>
      </c>
      <c r="F6" s="14">
        <f>E6*(1+F5)</f>
        <v>4087.61003805</v>
      </c>
    </row>
    <row r="7" ht="20.1" customHeight="1">
      <c r="B7" t="s" s="10">
        <v>6</v>
      </c>
      <c r="C7" s="15">
        <f>AVERAGE('Sales'!J31)</f>
        <v>-0.908872175520607</v>
      </c>
      <c r="D7" s="16">
        <f>C7</f>
        <v>-0.908872175520607</v>
      </c>
      <c r="E7" s="16">
        <f>D7</f>
        <v>-0.908872175520607</v>
      </c>
      <c r="F7" s="16">
        <f>E7</f>
        <v>-0.908872175520607</v>
      </c>
    </row>
    <row r="8" ht="20.1" customHeight="1">
      <c r="B8" t="s" s="10">
        <v>7</v>
      </c>
      <c r="C8" s="17">
        <f>C7*C6</f>
        <v>-3335.097359351110</v>
      </c>
      <c r="D8" s="18">
        <f>D7*D6</f>
        <v>-3501.852227318670</v>
      </c>
      <c r="E8" s="18">
        <f>E7*E6</f>
        <v>-3606.907794138230</v>
      </c>
      <c r="F8" s="18">
        <f>F7*F6</f>
        <v>-3715.115027962370</v>
      </c>
    </row>
    <row r="9" ht="20.1" customHeight="1">
      <c r="B9" t="s" s="10">
        <v>8</v>
      </c>
      <c r="C9" s="17">
        <f>C6+C8</f>
        <v>334.392640648890</v>
      </c>
      <c r="D9" s="18">
        <f>D6+D8</f>
        <v>351.112272681330</v>
      </c>
      <c r="E9" s="18">
        <f>E6+E8</f>
        <v>361.645640861770</v>
      </c>
      <c r="F9" s="18">
        <f>F6+F8</f>
        <v>372.495010087630</v>
      </c>
    </row>
    <row r="10" ht="20.05" customHeight="1">
      <c r="B10" t="s" s="10">
        <v>9</v>
      </c>
      <c r="C10" s="17">
        <f>AVERAGE('Cashflow'!E32)</f>
        <v>-163.9</v>
      </c>
      <c r="D10" s="18">
        <f>C10</f>
        <v>-163.9</v>
      </c>
      <c r="E10" s="18">
        <f>D10</f>
        <v>-163.9</v>
      </c>
      <c r="F10" s="18">
        <f>E10</f>
        <v>-163.9</v>
      </c>
    </row>
    <row r="11" ht="20.1" customHeight="1">
      <c r="B11" t="s" s="10">
        <v>10</v>
      </c>
      <c r="C11" s="17">
        <f>AVERAGE('Cashflow'!F29:F32)</f>
        <v>-84.97499999999999</v>
      </c>
      <c r="D11" s="18">
        <f>C11</f>
        <v>-84.97499999999999</v>
      </c>
      <c r="E11" s="18">
        <f>D11</f>
        <v>-84.97499999999999</v>
      </c>
      <c r="F11" s="18">
        <f>E11</f>
        <v>-84.97499999999999</v>
      </c>
    </row>
    <row r="12" ht="20.1" customHeight="1">
      <c r="B12" t="s" s="10">
        <v>11</v>
      </c>
      <c r="C12" s="17">
        <f>C13+C16+C14</f>
        <v>-170.492640648890</v>
      </c>
      <c r="D12" s="18">
        <f>D13+D16+D14</f>
        <v>-187.212272681330</v>
      </c>
      <c r="E12" s="18">
        <f>E13+E16+E14</f>
        <v>-197.745640861770</v>
      </c>
      <c r="F12" s="18">
        <f>F13+F16+F14</f>
        <v>-208.595010087630</v>
      </c>
    </row>
    <row r="13" ht="20.1" customHeight="1">
      <c r="B13" t="s" s="10">
        <v>12</v>
      </c>
      <c r="C13" s="17">
        <f>-('Balance sheet'!G32)/20</f>
        <v>-1489.35</v>
      </c>
      <c r="D13" s="18">
        <f>-C28/20</f>
        <v>-1414.8825</v>
      </c>
      <c r="E13" s="18">
        <f>-D28/20</f>
        <v>-1344.138375</v>
      </c>
      <c r="F13" s="18">
        <f>-E28/20</f>
        <v>-1276.93145625</v>
      </c>
    </row>
    <row r="14" ht="20.1" customHeight="1">
      <c r="B14" t="s" s="10">
        <v>13</v>
      </c>
      <c r="C14" s="17">
        <f>-MIN(0,C17)</f>
        <v>1318.857359351110</v>
      </c>
      <c r="D14" s="18">
        <f>-MIN(C29,D17)</f>
        <v>1227.670227318670</v>
      </c>
      <c r="E14" s="18">
        <f>-MIN(D29,E17)</f>
        <v>1146.392734138230</v>
      </c>
      <c r="F14" s="18">
        <f>-MIN(E29,F17)</f>
        <v>1068.336446162370</v>
      </c>
    </row>
    <row r="15" ht="20.1" customHeight="1">
      <c r="B15" t="s" s="10">
        <v>14</v>
      </c>
      <c r="C15" s="19">
        <v>0</v>
      </c>
      <c r="D15" s="18"/>
      <c r="E15" s="18"/>
      <c r="F15" s="18"/>
    </row>
    <row r="16" ht="20.1" customHeight="1">
      <c r="B16" t="s" s="10">
        <v>15</v>
      </c>
      <c r="C16" s="17">
        <f>IF(C23&gt;0,-C23*$C$15,0)</f>
        <v>0</v>
      </c>
      <c r="D16" s="18">
        <f>IF(D23&gt;0,-D23*$C$15,0)</f>
        <v>0</v>
      </c>
      <c r="E16" s="18">
        <f>IF(E23&gt;0,-E23*$C$15,0)</f>
        <v>0</v>
      </c>
      <c r="F16" s="18">
        <f>IF(F23&gt;0,-F23*$C$15,0)</f>
        <v>0</v>
      </c>
    </row>
    <row r="17" ht="20.05" customHeight="1">
      <c r="B17" t="s" s="10">
        <v>16</v>
      </c>
      <c r="C17" s="17">
        <f>C9+C10+C13+C16</f>
        <v>-1318.857359351110</v>
      </c>
      <c r="D17" s="18">
        <f>D9+D10+D13+D16</f>
        <v>-1227.670227318670</v>
      </c>
      <c r="E17" s="18">
        <f>E9+E10+E13+E16</f>
        <v>-1146.392734138230</v>
      </c>
      <c r="F17" s="18">
        <f>F9+F10+F13+F16</f>
        <v>-1068.336446162370</v>
      </c>
    </row>
    <row r="18" ht="20.1" customHeight="1">
      <c r="B18" t="s" s="10">
        <v>17</v>
      </c>
      <c r="C18" s="17">
        <f>'Balance sheet'!C32</f>
        <v>4434</v>
      </c>
      <c r="D18" s="18">
        <f>C20</f>
        <v>4434</v>
      </c>
      <c r="E18" s="18">
        <f>D20</f>
        <v>4434</v>
      </c>
      <c r="F18" s="18">
        <f>E20</f>
        <v>4434</v>
      </c>
    </row>
    <row r="19" ht="20.1" customHeight="1">
      <c r="B19" t="s" s="10">
        <v>18</v>
      </c>
      <c r="C19" s="17">
        <f>C9+C10+C12</f>
        <v>0</v>
      </c>
      <c r="D19" s="18">
        <f>D9+D10+D12</f>
        <v>0</v>
      </c>
      <c r="E19" s="18">
        <f>E9+E10+E12</f>
        <v>0</v>
      </c>
      <c r="F19" s="18">
        <f>F9+F10+F12</f>
        <v>0</v>
      </c>
    </row>
    <row r="20" ht="20.1" customHeight="1">
      <c r="B20" t="s" s="10">
        <v>19</v>
      </c>
      <c r="C20" s="17">
        <f>C18+C19</f>
        <v>4434</v>
      </c>
      <c r="D20" s="18">
        <f>D18+D19</f>
        <v>4434</v>
      </c>
      <c r="E20" s="18">
        <f>E18+E19</f>
        <v>4434</v>
      </c>
      <c r="F20" s="18">
        <f>F18+F19</f>
        <v>4434</v>
      </c>
    </row>
    <row r="21" ht="20.1" customHeight="1">
      <c r="B21" t="s" s="20">
        <v>20</v>
      </c>
      <c r="C21" s="21"/>
      <c r="D21" s="22"/>
      <c r="E21" s="22"/>
      <c r="F21" s="22"/>
    </row>
    <row r="22" ht="20.1" customHeight="1">
      <c r="B22" t="s" s="10">
        <v>21</v>
      </c>
      <c r="C22" s="17">
        <f>-AVERAGE('Sales'!E32)</f>
        <v>-336.9</v>
      </c>
      <c r="D22" s="18">
        <f>C22</f>
        <v>-336.9</v>
      </c>
      <c r="E22" s="18">
        <f>D22</f>
        <v>-336.9</v>
      </c>
      <c r="F22" s="18">
        <f>E22</f>
        <v>-336.9</v>
      </c>
    </row>
    <row r="23" ht="20.1" customHeight="1">
      <c r="B23" t="s" s="10">
        <v>22</v>
      </c>
      <c r="C23" s="17">
        <f>C6+C8+C22</f>
        <v>-2.507359351110</v>
      </c>
      <c r="D23" s="18">
        <f>D6+D8+D22</f>
        <v>14.212272681330</v>
      </c>
      <c r="E23" s="18">
        <f>E6+E8+E22</f>
        <v>24.745640861770</v>
      </c>
      <c r="F23" s="18">
        <f>F6+F8+F22</f>
        <v>35.595010087630</v>
      </c>
    </row>
    <row r="24" ht="20.1" customHeight="1">
      <c r="B24" t="s" s="20">
        <v>23</v>
      </c>
      <c r="C24" s="21"/>
      <c r="D24" s="22"/>
      <c r="E24" s="22"/>
      <c r="F24" s="22"/>
    </row>
    <row r="25" ht="20.1" customHeight="1">
      <c r="B25" t="s" s="10">
        <v>24</v>
      </c>
      <c r="C25" s="17">
        <f>'Balance sheet'!E32+'Balance sheet'!F32-C10</f>
        <v>55574.9</v>
      </c>
      <c r="D25" s="18">
        <f>C25-D10</f>
        <v>55738.8</v>
      </c>
      <c r="E25" s="18">
        <f>D25-E10</f>
        <v>55902.7</v>
      </c>
      <c r="F25" s="18">
        <f>E25-F10</f>
        <v>56066.6</v>
      </c>
    </row>
    <row r="26" ht="20.1" customHeight="1">
      <c r="B26" t="s" s="10">
        <v>25</v>
      </c>
      <c r="C26" s="17">
        <f>'Balance sheet'!F32-C22</f>
        <v>8334.9</v>
      </c>
      <c r="D26" s="18">
        <f>C26-D22</f>
        <v>8671.799999999999</v>
      </c>
      <c r="E26" s="18">
        <f>D26-E22</f>
        <v>9008.700000000001</v>
      </c>
      <c r="F26" s="18">
        <f>E26-F22</f>
        <v>9345.6</v>
      </c>
    </row>
    <row r="27" ht="20.1" customHeight="1">
      <c r="B27" t="s" s="10">
        <v>26</v>
      </c>
      <c r="C27" s="17">
        <f>C25-C26</f>
        <v>47240</v>
      </c>
      <c r="D27" s="18">
        <f>D25-D26</f>
        <v>47067</v>
      </c>
      <c r="E27" s="18">
        <f>E25-E26</f>
        <v>46894</v>
      </c>
      <c r="F27" s="18">
        <f>F25-F26</f>
        <v>46721</v>
      </c>
    </row>
    <row r="28" ht="20.1" customHeight="1">
      <c r="B28" t="s" s="10">
        <v>12</v>
      </c>
      <c r="C28" s="17">
        <f>'Balance sheet'!G32+C13</f>
        <v>28297.65</v>
      </c>
      <c r="D28" s="18">
        <f>C28+D13</f>
        <v>26882.7675</v>
      </c>
      <c r="E28" s="18">
        <f>D28+E13</f>
        <v>25538.629125</v>
      </c>
      <c r="F28" s="18">
        <f>E28+F13</f>
        <v>24261.69766875</v>
      </c>
    </row>
    <row r="29" ht="20.1" customHeight="1">
      <c r="B29" t="s" s="10">
        <v>13</v>
      </c>
      <c r="C29" s="17">
        <f>C14</f>
        <v>1318.857359351110</v>
      </c>
      <c r="D29" s="18">
        <f>C29+D14</f>
        <v>2546.527586669780</v>
      </c>
      <c r="E29" s="18">
        <f>D29+E14</f>
        <v>3692.920320808010</v>
      </c>
      <c r="F29" s="18">
        <f>E29+F14</f>
        <v>4761.256766970380</v>
      </c>
    </row>
    <row r="30" ht="20.05" customHeight="1">
      <c r="B30" t="s" s="10">
        <v>27</v>
      </c>
      <c r="C30" s="17">
        <f>'Balance sheet'!H32+C23+C16</f>
        <v>22057.4926406489</v>
      </c>
      <c r="D30" s="18">
        <f>C30+D23+D16</f>
        <v>22071.7049133302</v>
      </c>
      <c r="E30" s="18">
        <f>D30+E23+E16</f>
        <v>22096.450554192</v>
      </c>
      <c r="F30" s="18">
        <f>E30+F23+F16</f>
        <v>22132.0455642796</v>
      </c>
    </row>
    <row r="31" ht="20.1" customHeight="1">
      <c r="B31" t="s" s="10">
        <v>28</v>
      </c>
      <c r="C31" s="17">
        <f>C28+C29+C30-C20-C27</f>
        <v>9.999999999999999e-12</v>
      </c>
      <c r="D31" s="18">
        <f>D28+D29+D30-D20-D27</f>
        <v>-2e-11</v>
      </c>
      <c r="E31" s="18">
        <f>E28+E29+E30-E20-E27</f>
        <v>9.999999999999999e-12</v>
      </c>
      <c r="F31" s="18">
        <f>F28+F29+F30-F20-F27</f>
        <v>-2e-11</v>
      </c>
    </row>
    <row r="32" ht="20.1" customHeight="1">
      <c r="B32" t="s" s="10">
        <v>29</v>
      </c>
      <c r="C32" s="17">
        <f>C20-C28-C29</f>
        <v>-25182.5073593511</v>
      </c>
      <c r="D32" s="18">
        <f>D20-D28-D29</f>
        <v>-24995.2950866698</v>
      </c>
      <c r="E32" s="18">
        <f>E20-E28-E29</f>
        <v>-24797.549445808</v>
      </c>
      <c r="F32" s="18">
        <f>F20-F28-F29</f>
        <v>-24588.9544357204</v>
      </c>
    </row>
    <row r="33" ht="20.1" customHeight="1">
      <c r="B33" t="s" s="20">
        <v>30</v>
      </c>
      <c r="C33" s="17"/>
      <c r="D33" s="18"/>
      <c r="E33" s="18"/>
      <c r="F33" s="18"/>
    </row>
    <row r="34" ht="20.1" customHeight="1">
      <c r="B34" t="s" s="10">
        <v>31</v>
      </c>
      <c r="C34" s="17">
        <f>'Cashflow'!M32-C12-C11</f>
        <v>-23141.0323593512</v>
      </c>
      <c r="D34" s="18">
        <f>C34-D12-D11</f>
        <v>-22868.8450866699</v>
      </c>
      <c r="E34" s="18">
        <f>D34-E12-E11</f>
        <v>-22586.1244458081</v>
      </c>
      <c r="F34" s="18">
        <f>E34-F12-F11</f>
        <v>-22292.5544357205</v>
      </c>
    </row>
    <row r="35" ht="20.1" customHeight="1">
      <c r="B35" t="s" s="10">
        <v>32</v>
      </c>
      <c r="C35" s="17"/>
      <c r="D35" s="18"/>
      <c r="E35" s="18"/>
      <c r="F35" s="18">
        <v>8782821195776</v>
      </c>
    </row>
    <row r="36" ht="20.1" customHeight="1">
      <c r="B36" t="s" s="10">
        <v>32</v>
      </c>
      <c r="C36" s="17"/>
      <c r="D36" s="18"/>
      <c r="E36" s="18"/>
      <c r="F36" s="18">
        <f>F35/1000000000</f>
        <v>8782.821195776</v>
      </c>
    </row>
    <row r="37" ht="20.1" customHeight="1">
      <c r="B37" t="s" s="10">
        <v>33</v>
      </c>
      <c r="C37" s="17"/>
      <c r="D37" s="18"/>
      <c r="E37" s="18"/>
      <c r="F37" s="23">
        <f>F36/(F20+F27)</f>
        <v>0.171690376224729</v>
      </c>
    </row>
    <row r="38" ht="20.1" customHeight="1">
      <c r="B38" t="s" s="10">
        <v>34</v>
      </c>
      <c r="C38" s="17"/>
      <c r="D38" s="18"/>
      <c r="E38" s="18"/>
      <c r="F38" s="16">
        <f>-(C16+D16+E16+F16)/F36</f>
        <v>0</v>
      </c>
    </row>
    <row r="39" ht="20.1" customHeight="1">
      <c r="B39" t="s" s="10">
        <v>35</v>
      </c>
      <c r="C39" s="17"/>
      <c r="D39" s="18"/>
      <c r="E39" s="18"/>
      <c r="F39" s="18">
        <f>SUM(F9:F11)*4</f>
        <v>494.480040350520</v>
      </c>
    </row>
    <row r="40" ht="20.1" customHeight="1">
      <c r="B40" t="s" s="10">
        <v>36</v>
      </c>
      <c r="C40" s="17"/>
      <c r="D40" s="18"/>
      <c r="E40" s="18"/>
      <c r="F40" s="18">
        <f>'Balance sheet'!E32/F39</f>
        <v>95.8845577799066</v>
      </c>
    </row>
    <row r="41" ht="20.1" customHeight="1">
      <c r="B41" t="s" s="10">
        <v>30</v>
      </c>
      <c r="C41" s="17"/>
      <c r="D41" s="18"/>
      <c r="E41" s="18"/>
      <c r="F41" s="18">
        <f>F36/F39</f>
        <v>17.7617304624675</v>
      </c>
    </row>
    <row r="42" ht="20.1" customHeight="1">
      <c r="B42" t="s" s="10">
        <v>37</v>
      </c>
      <c r="C42" s="17"/>
      <c r="D42" s="18"/>
      <c r="E42" s="18"/>
      <c r="F42" s="18">
        <v>20</v>
      </c>
    </row>
    <row r="43" ht="20.1" customHeight="1">
      <c r="B43" t="s" s="10">
        <v>38</v>
      </c>
      <c r="C43" s="17"/>
      <c r="D43" s="18"/>
      <c r="E43" s="18"/>
      <c r="F43" s="18">
        <f>F39*F42</f>
        <v>9889.6008070104</v>
      </c>
    </row>
    <row r="44" ht="20.1" customHeight="1">
      <c r="B44" t="s" s="10">
        <v>39</v>
      </c>
      <c r="C44" s="17"/>
      <c r="D44" s="18"/>
      <c r="E44" s="18"/>
      <c r="F44" s="18">
        <f>F36/F46</f>
        <v>70.8292031917419</v>
      </c>
    </row>
    <row r="45" ht="20.1" customHeight="1">
      <c r="B45" t="s" s="10">
        <v>40</v>
      </c>
      <c r="C45" s="17"/>
      <c r="D45" s="18"/>
      <c r="E45" s="18"/>
      <c r="F45" s="18">
        <f>F43/F44</f>
        <v>139.626035044306</v>
      </c>
    </row>
    <row r="46" ht="20.1" customHeight="1">
      <c r="B46" t="s" s="10">
        <v>41</v>
      </c>
      <c r="C46" s="17"/>
      <c r="D46" s="18"/>
      <c r="E46" s="18"/>
      <c r="F46" s="24">
        <v>124</v>
      </c>
    </row>
    <row r="47" ht="20.1" customHeight="1">
      <c r="B47" t="s" s="10">
        <v>42</v>
      </c>
      <c r="C47" s="17"/>
      <c r="D47" s="18"/>
      <c r="E47" s="18"/>
      <c r="F47" s="16">
        <f>F45/F46-1</f>
        <v>0.126016411647629</v>
      </c>
    </row>
    <row r="48" ht="20.1" customHeight="1">
      <c r="B48" t="s" s="10">
        <v>43</v>
      </c>
      <c r="C48" s="17"/>
      <c r="D48" s="18"/>
      <c r="E48" s="18"/>
      <c r="F48" s="16">
        <f>'Sales'!C32/'Sales'!C28-1</f>
        <v>-0.0210412020190163</v>
      </c>
    </row>
    <row r="49" ht="20.1" customHeight="1">
      <c r="B49" t="s" s="10">
        <v>44</v>
      </c>
      <c r="C49" s="17"/>
      <c r="D49" s="18"/>
      <c r="E49" s="18"/>
      <c r="F49" s="16">
        <f>'Sales'!F35/'Sales'!E35-1</f>
        <v>0.0156566813269666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92969" style="25" customWidth="1"/>
    <col min="2" max="2" width="9.42188" style="25" customWidth="1"/>
    <col min="3" max="11" width="9.89844" style="25" customWidth="1"/>
    <col min="12" max="16384" width="16.3516" style="25" customWidth="1"/>
  </cols>
  <sheetData>
    <row r="1" ht="45.6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37</v>
      </c>
      <c r="E3" t="s" s="5">
        <v>21</v>
      </c>
      <c r="F3" t="s" s="5">
        <v>45</v>
      </c>
      <c r="G3" t="s" s="5">
        <v>46</v>
      </c>
      <c r="H3" t="s" s="5">
        <v>47</v>
      </c>
      <c r="I3" t="s" s="5">
        <v>48</v>
      </c>
      <c r="J3" t="s" s="5">
        <v>48</v>
      </c>
      <c r="K3" t="s" s="5">
        <v>37</v>
      </c>
    </row>
    <row r="4" ht="20.25" customHeight="1">
      <c r="B4" s="26">
        <v>2015</v>
      </c>
      <c r="C4" s="27">
        <v>2447</v>
      </c>
      <c r="D4" s="28"/>
      <c r="E4" s="29">
        <v>108</v>
      </c>
      <c r="F4" s="29"/>
      <c r="G4" s="29">
        <v>560</v>
      </c>
      <c r="H4" s="9"/>
      <c r="I4" s="30">
        <f>(E4+F4+G4-C4)/C4</f>
        <v>-0.727012668573764</v>
      </c>
      <c r="J4" s="30"/>
      <c r="K4" s="30"/>
    </row>
    <row r="5" ht="20.05" customHeight="1">
      <c r="B5" s="31"/>
      <c r="C5" s="17">
        <v>2300</v>
      </c>
      <c r="D5" s="22"/>
      <c r="E5" s="18">
        <v>114</v>
      </c>
      <c r="F5" s="18"/>
      <c r="G5" s="18">
        <v>497</v>
      </c>
      <c r="H5" s="16">
        <f>C5/C4-1</f>
        <v>-0.060073559460564</v>
      </c>
      <c r="I5" s="16">
        <f>(E5+F5+G5-C5)/C5</f>
        <v>-0.734347826086957</v>
      </c>
      <c r="J5" s="16"/>
      <c r="K5" s="16"/>
    </row>
    <row r="6" ht="20.05" customHeight="1">
      <c r="B6" s="31"/>
      <c r="C6" s="17">
        <v>2012</v>
      </c>
      <c r="D6" s="22"/>
      <c r="E6" s="18">
        <v>124</v>
      </c>
      <c r="F6" s="18"/>
      <c r="G6" s="18">
        <v>-612</v>
      </c>
      <c r="H6" s="16">
        <f>C6/C5-1</f>
        <v>-0.125217391304348</v>
      </c>
      <c r="I6" s="16">
        <f>(E6+F6+G6-C6)/C6</f>
        <v>-1.24254473161034</v>
      </c>
      <c r="J6" s="16"/>
      <c r="K6" s="16"/>
    </row>
    <row r="7" ht="20.05" customHeight="1">
      <c r="B7" s="31"/>
      <c r="C7" s="17">
        <v>2151</v>
      </c>
      <c r="D7" s="22"/>
      <c r="E7" s="18">
        <v>155</v>
      </c>
      <c r="F7" s="18"/>
      <c r="G7" s="18">
        <v>579</v>
      </c>
      <c r="H7" s="16">
        <f>C7/C6-1</f>
        <v>0.0690854870775348</v>
      </c>
      <c r="I7" s="16">
        <f>(E7+F7+G7-C7)/C7</f>
        <v>-0.658763365876337</v>
      </c>
      <c r="J7" s="16"/>
      <c r="K7" s="16"/>
    </row>
    <row r="8" ht="20.05" customHeight="1">
      <c r="B8" s="32">
        <v>2016</v>
      </c>
      <c r="C8" s="17">
        <v>2605</v>
      </c>
      <c r="D8" s="22"/>
      <c r="E8" s="18">
        <v>116</v>
      </c>
      <c r="F8" s="18"/>
      <c r="G8" s="18">
        <v>439</v>
      </c>
      <c r="H8" s="16">
        <f>C8/C7-1</f>
        <v>0.211064621106462</v>
      </c>
      <c r="I8" s="16">
        <f>(E8+F8+G8-C8)/C8</f>
        <v>-0.786948176583493</v>
      </c>
      <c r="J8" s="16"/>
      <c r="K8" s="16"/>
    </row>
    <row r="9" ht="20.05" customHeight="1">
      <c r="B9" s="31"/>
      <c r="C9" s="17">
        <v>2504</v>
      </c>
      <c r="D9" s="22"/>
      <c r="E9" s="18">
        <v>127</v>
      </c>
      <c r="F9" s="18"/>
      <c r="G9" s="18">
        <v>315</v>
      </c>
      <c r="H9" s="16">
        <f>C9/C8-1</f>
        <v>-0.0387715930902111</v>
      </c>
      <c r="I9" s="16">
        <f>(E9+F9+G9-C9)/C9</f>
        <v>-0.823482428115016</v>
      </c>
      <c r="J9" s="16"/>
      <c r="K9" s="16"/>
    </row>
    <row r="10" ht="20.05" customHeight="1">
      <c r="B10" s="31"/>
      <c r="C10" s="17">
        <v>2316</v>
      </c>
      <c r="D10" s="22"/>
      <c r="E10" s="18">
        <v>143</v>
      </c>
      <c r="F10" s="18"/>
      <c r="G10" s="18">
        <v>245</v>
      </c>
      <c r="H10" s="16">
        <f>C10/C9-1</f>
        <v>-0.07507987220447281</v>
      </c>
      <c r="I10" s="16">
        <f>(E10+F10+G10-C10)/C10</f>
        <v>-0.832469775474957</v>
      </c>
      <c r="J10" s="16"/>
      <c r="K10" s="16"/>
    </row>
    <row r="11" ht="20.05" customHeight="1">
      <c r="B11" s="31"/>
      <c r="C11" s="17">
        <v>3537</v>
      </c>
      <c r="D11" s="22"/>
      <c r="E11" s="18">
        <v>-133</v>
      </c>
      <c r="F11" s="18"/>
      <c r="G11" s="18">
        <v>228</v>
      </c>
      <c r="H11" s="16">
        <f>C11/C10-1</f>
        <v>0.52720207253886</v>
      </c>
      <c r="I11" s="16">
        <f>(E11+F11+G11-C11)/C11</f>
        <v>-0.9731410800113089</v>
      </c>
      <c r="J11" s="16"/>
      <c r="K11" s="16"/>
    </row>
    <row r="12" ht="20.05" customHeight="1">
      <c r="B12" s="32">
        <v>2017</v>
      </c>
      <c r="C12" s="17">
        <v>2648</v>
      </c>
      <c r="D12" s="22"/>
      <c r="E12" s="18">
        <v>140</v>
      </c>
      <c r="F12" s="18"/>
      <c r="G12" s="18">
        <v>226</v>
      </c>
      <c r="H12" s="16">
        <f>C12/C11-1</f>
        <v>-0.251342945999435</v>
      </c>
      <c r="I12" s="16">
        <f>(E12+F12+G12-C12)/C12</f>
        <v>-0.86178247734139</v>
      </c>
      <c r="J12" s="16">
        <f>AVERAGE(I9:I12)</f>
        <v>-0.872718940235668</v>
      </c>
      <c r="K12" s="16"/>
    </row>
    <row r="13" ht="20.05" customHeight="1">
      <c r="B13" s="31"/>
      <c r="C13" s="17">
        <v>2263</v>
      </c>
      <c r="D13" s="22"/>
      <c r="E13" s="18">
        <v>146</v>
      </c>
      <c r="F13" s="18"/>
      <c r="G13" s="18">
        <v>375</v>
      </c>
      <c r="H13" s="16">
        <f>C13/C12-1</f>
        <v>-0.145392749244713</v>
      </c>
      <c r="I13" s="16">
        <f>(E13+F13+G13-C13)/C13</f>
        <v>-0.7697746354396821</v>
      </c>
      <c r="J13" s="16">
        <f>AVERAGE(I10:I13)</f>
        <v>-0.859291992066835</v>
      </c>
      <c r="K13" s="16"/>
    </row>
    <row r="14" ht="20.05" customHeight="1">
      <c r="B14" s="31"/>
      <c r="C14" s="17">
        <v>2523</v>
      </c>
      <c r="D14" s="22"/>
      <c r="E14" s="18">
        <v>170</v>
      </c>
      <c r="F14" s="18"/>
      <c r="G14" s="18">
        <v>263</v>
      </c>
      <c r="H14" s="16">
        <f>C14/C13-1</f>
        <v>0.114891736632788</v>
      </c>
      <c r="I14" s="16">
        <f>(E14+F14+G14-C14)/C14</f>
        <v>-0.8283789139912801</v>
      </c>
      <c r="J14" s="16">
        <f>AVERAGE(I11:I14)</f>
        <v>-0.858269276695915</v>
      </c>
      <c r="K14" s="16"/>
    </row>
    <row r="15" ht="20.05" customHeight="1">
      <c r="B15" s="31"/>
      <c r="C15" s="17">
        <v>3088</v>
      </c>
      <c r="D15" s="22"/>
      <c r="E15" s="18">
        <v>160</v>
      </c>
      <c r="F15" s="18"/>
      <c r="G15" s="18">
        <v>-7</v>
      </c>
      <c r="H15" s="16">
        <f>C15/C14-1</f>
        <v>0.223939754260801</v>
      </c>
      <c r="I15" s="16">
        <f>(E15+F15+G15-C15)/C15</f>
        <v>-0.950453367875648</v>
      </c>
      <c r="J15" s="16">
        <f>AVERAGE(I12:I15)</f>
        <v>-0.852597348662</v>
      </c>
      <c r="K15" s="16"/>
    </row>
    <row r="16" ht="20.05" customHeight="1">
      <c r="B16" s="32">
        <v>2018</v>
      </c>
      <c r="C16" s="17">
        <v>2503</v>
      </c>
      <c r="D16" s="22"/>
      <c r="E16" s="18">
        <v>174</v>
      </c>
      <c r="F16" s="18"/>
      <c r="G16" s="18">
        <v>181</v>
      </c>
      <c r="H16" s="16">
        <f>C16/C15-1</f>
        <v>-0.189443005181347</v>
      </c>
      <c r="I16" s="16">
        <f>(E16+F16+G16-C16)/C16</f>
        <v>-0.858170195765082</v>
      </c>
      <c r="J16" s="16">
        <f>AVERAGE(I13:I16)</f>
        <v>-0.851694278267923</v>
      </c>
      <c r="K16" s="16"/>
    </row>
    <row r="17" ht="20.05" customHeight="1">
      <c r="B17" s="31"/>
      <c r="C17" s="17">
        <v>2833</v>
      </c>
      <c r="D17" s="22"/>
      <c r="E17" s="18">
        <v>175</v>
      </c>
      <c r="F17" s="18"/>
      <c r="G17" s="18">
        <v>1262</v>
      </c>
      <c r="H17" s="16">
        <f>C17/C16-1</f>
        <v>0.131841789852177</v>
      </c>
      <c r="I17" s="16">
        <f>(E17+F17+G17-C17)/C17</f>
        <v>-0.492763854571126</v>
      </c>
      <c r="J17" s="16">
        <f>AVERAGE(I14:I17)</f>
        <v>-0.782441583050784</v>
      </c>
      <c r="K17" s="16"/>
    </row>
    <row r="18" ht="20.05" customHeight="1">
      <c r="B18" s="31"/>
      <c r="C18" s="17">
        <v>3249</v>
      </c>
      <c r="D18" s="22"/>
      <c r="E18" s="18">
        <v>158</v>
      </c>
      <c r="F18" s="18"/>
      <c r="G18" s="18">
        <v>312</v>
      </c>
      <c r="H18" s="16">
        <f>C18/C17-1</f>
        <v>0.146840804800565</v>
      </c>
      <c r="I18" s="16">
        <f>(E18+F18+G18-C18)/C18</f>
        <v>-0.855340104647584</v>
      </c>
      <c r="J18" s="16">
        <f>AVERAGE(I15:I18)</f>
        <v>-0.78918188071486</v>
      </c>
      <c r="K18" s="16"/>
    </row>
    <row r="19" ht="20.05" customHeight="1">
      <c r="B19" s="31"/>
      <c r="C19" s="17">
        <v>2868</v>
      </c>
      <c r="D19" s="22"/>
      <c r="E19" s="18">
        <v>168</v>
      </c>
      <c r="F19" s="18"/>
      <c r="G19" s="18">
        <v>-92</v>
      </c>
      <c r="H19" s="16">
        <f>C19/C18-1</f>
        <v>-0.117266851338873</v>
      </c>
      <c r="I19" s="16">
        <f>(E19+F19+G19-C19)/C19</f>
        <v>-0.9735006973500701</v>
      </c>
      <c r="J19" s="16">
        <f>AVERAGE(I16:I19)</f>
        <v>-0.794943713083466</v>
      </c>
      <c r="K19" s="16"/>
    </row>
    <row r="20" ht="20.05" customHeight="1">
      <c r="B20" s="32">
        <v>2019</v>
      </c>
      <c r="C20" s="17">
        <v>2858.24</v>
      </c>
      <c r="D20" s="22"/>
      <c r="E20" s="18">
        <v>222.6</v>
      </c>
      <c r="F20" s="18"/>
      <c r="G20" s="18">
        <v>126.26</v>
      </c>
      <c r="H20" s="16">
        <f>C20/C19-1</f>
        <v>-0.00340306834030683</v>
      </c>
      <c r="I20" s="16">
        <f>(E20+F20+G20-C20)/C20</f>
        <v>-0.877945868786386</v>
      </c>
      <c r="J20" s="16">
        <f>AVERAGE(I17:I20)</f>
        <v>-0.799887631338792</v>
      </c>
      <c r="K20" s="16"/>
    </row>
    <row r="21" ht="20.05" customHeight="1">
      <c r="B21" s="31"/>
      <c r="C21" s="17">
        <v>2443.76</v>
      </c>
      <c r="D21" s="22"/>
      <c r="E21" s="18">
        <v>185</v>
      </c>
      <c r="F21" s="18"/>
      <c r="G21" s="18">
        <v>-1587.26</v>
      </c>
      <c r="H21" s="16">
        <f>C21/C20-1</f>
        <v>-0.145012315270936</v>
      </c>
      <c r="I21" s="16">
        <f>(E21+F21+G21-C21)/C21</f>
        <v>-1.57381248567781</v>
      </c>
      <c r="J21" s="16">
        <f>AVERAGE(I18:I21)</f>
        <v>-1.07014978911546</v>
      </c>
      <c r="K21" s="16"/>
    </row>
    <row r="22" ht="20.05" customHeight="1">
      <c r="B22" s="31"/>
      <c r="C22" s="17">
        <v>2972</v>
      </c>
      <c r="D22" s="22"/>
      <c r="E22" s="18">
        <v>1145.1</v>
      </c>
      <c r="F22" s="18"/>
      <c r="G22" s="18">
        <v>-232</v>
      </c>
      <c r="H22" s="16">
        <f>C22/C21-1</f>
        <v>0.216158706255933</v>
      </c>
      <c r="I22" s="16">
        <f>(E22+F22+G22-C22)/C22</f>
        <v>-0.692765814266487</v>
      </c>
      <c r="J22" s="16">
        <f>AVERAGE(I19:I22)</f>
        <v>-1.02950621652019</v>
      </c>
      <c r="K22" s="16"/>
    </row>
    <row r="23" ht="20.05" customHeight="1">
      <c r="B23" s="31"/>
      <c r="C23" s="17">
        <v>4046</v>
      </c>
      <c r="D23" s="22"/>
      <c r="E23" s="18">
        <v>143.8</v>
      </c>
      <c r="F23" s="18"/>
      <c r="G23" s="18">
        <v>-368</v>
      </c>
      <c r="H23" s="16">
        <f>C23/C22-1</f>
        <v>0.361372812920592</v>
      </c>
      <c r="I23" s="16">
        <f>(E23+F23+G23-C23)/C23</f>
        <v>-1.05541275333663</v>
      </c>
      <c r="J23" s="16">
        <f>AVERAGE(I20:I23)</f>
        <v>-1.04998423051683</v>
      </c>
      <c r="K23" s="16"/>
    </row>
    <row r="24" ht="20.05" customHeight="1">
      <c r="B24" s="32">
        <v>2020</v>
      </c>
      <c r="C24" s="17">
        <v>3100.67</v>
      </c>
      <c r="D24" s="18">
        <v>3344.1408</v>
      </c>
      <c r="E24" s="18">
        <v>762.9</v>
      </c>
      <c r="F24" s="18">
        <v>2393</v>
      </c>
      <c r="G24" s="18">
        <v>-1950.29</v>
      </c>
      <c r="H24" s="16">
        <f>C24/C23-1</f>
        <v>-0.23364557587741</v>
      </c>
      <c r="I24" s="16">
        <f>(E24+F24+G24-C24)/C24</f>
        <v>-0.611177584199544</v>
      </c>
      <c r="J24" s="16">
        <f>AVERAGE(I21:I24)</f>
        <v>-0.983292159370118</v>
      </c>
      <c r="K24" s="16"/>
    </row>
    <row r="25" ht="20.05" customHeight="1">
      <c r="B25" s="31"/>
      <c r="C25" s="17">
        <v>2232.33</v>
      </c>
      <c r="D25" s="18">
        <v>2565.948</v>
      </c>
      <c r="E25" s="18">
        <v>513.4</v>
      </c>
      <c r="F25" s="18">
        <f>446-F24</f>
        <v>-1947</v>
      </c>
      <c r="G25" s="18">
        <v>734.29</v>
      </c>
      <c r="H25" s="16">
        <f>C25/C24-1</f>
        <v>-0.280049150667436</v>
      </c>
      <c r="I25" s="16">
        <f>(E25+F25+G25-C25)/C25</f>
        <v>-1.3132646158946</v>
      </c>
      <c r="J25" s="16">
        <f>AVERAGE(I22:I25)</f>
        <v>-0.9181551919243151</v>
      </c>
      <c r="K25" s="16"/>
    </row>
    <row r="26" ht="20.05" customHeight="1">
      <c r="B26" s="31"/>
      <c r="C26" s="17">
        <v>3248.8</v>
      </c>
      <c r="D26" s="18">
        <v>2674.8</v>
      </c>
      <c r="E26" s="18">
        <v>356</v>
      </c>
      <c r="F26" s="18">
        <f>1099.87-SUM(F24:F25)</f>
        <v>653.87</v>
      </c>
      <c r="G26" s="18">
        <f>-2226.34-SUM(G24:G25)</f>
        <v>-1010.34</v>
      </c>
      <c r="H26" s="16">
        <f>C26/C25-1</f>
        <v>0.455340384262183</v>
      </c>
      <c r="I26" s="16">
        <f>(E26+F26+G26-C26)/C26</f>
        <v>-1.00014466880079</v>
      </c>
      <c r="J26" s="16">
        <f>AVERAGE(I23:I26)</f>
        <v>-0.994999905557891</v>
      </c>
      <c r="K26" s="16"/>
    </row>
    <row r="27" ht="20.05" customHeight="1">
      <c r="B27" s="31"/>
      <c r="C27" s="17">
        <f>11966.3-SUM(C24:C26)</f>
        <v>3384.5</v>
      </c>
      <c r="D27" s="18">
        <v>3476.216</v>
      </c>
      <c r="E27" s="18">
        <v>3901.4</v>
      </c>
      <c r="F27" s="18">
        <f>-515.2-SUM(F24:F26)</f>
        <v>-1615.07</v>
      </c>
      <c r="G27" s="18">
        <f>-9637.2-SUM(G24:G26)</f>
        <v>-7410.86</v>
      </c>
      <c r="H27" s="16">
        <f>C27/C26-1</f>
        <v>0.0417692686530411</v>
      </c>
      <c r="I27" s="16">
        <f>(E27+F27+G27-C27)/C27</f>
        <v>-2.51411729945339</v>
      </c>
      <c r="J27" s="16">
        <f>AVERAGE(I24:I27)</f>
        <v>-1.35967604208708</v>
      </c>
      <c r="K27" s="16"/>
    </row>
    <row r="28" ht="20.05" customHeight="1">
      <c r="B28" s="32">
        <v>2021</v>
      </c>
      <c r="C28" s="17">
        <v>3407.6</v>
      </c>
      <c r="D28" s="18">
        <v>3406.69168</v>
      </c>
      <c r="E28" s="18">
        <v>544.2</v>
      </c>
      <c r="F28" s="18">
        <v>210.6</v>
      </c>
      <c r="G28" s="18">
        <v>268.7</v>
      </c>
      <c r="H28" s="16">
        <f>C28/C27-1</f>
        <v>0.00682523267838676</v>
      </c>
      <c r="I28" s="16">
        <f>(E28+F28+G28-C28)/C28</f>
        <v>-0.699641976757835</v>
      </c>
      <c r="J28" s="16">
        <f>AVERAGE(I25:I28)</f>
        <v>-1.38179214022665</v>
      </c>
      <c r="K28" s="16"/>
    </row>
    <row r="29" ht="20.05" customHeight="1">
      <c r="B29" s="31"/>
      <c r="C29" s="17">
        <f>7229.3-C28</f>
        <v>3821.7</v>
      </c>
      <c r="D29" s="18">
        <v>3339.448</v>
      </c>
      <c r="E29" s="33">
        <f>1190-E28</f>
        <v>645.8</v>
      </c>
      <c r="F29" s="22"/>
      <c r="G29" s="18">
        <f>-19.5-G28</f>
        <v>-288.2</v>
      </c>
      <c r="H29" s="16">
        <f>C29/C28-1</f>
        <v>0.121522479164221</v>
      </c>
      <c r="I29" s="16">
        <f>(E29+F29+G29-C29)/C29</f>
        <v>-0.906429076065625</v>
      </c>
      <c r="J29" s="16">
        <f>AVERAGE(I26:I29)</f>
        <v>-1.28008325526941</v>
      </c>
      <c r="K29" s="16"/>
    </row>
    <row r="30" ht="20.05" customHeight="1">
      <c r="B30" s="31"/>
      <c r="C30" s="17">
        <f>10951.6-SUM(C28:C29)</f>
        <v>3722.3</v>
      </c>
      <c r="D30" s="18">
        <v>4203.87</v>
      </c>
      <c r="E30" s="18">
        <f>1483.9+301.7-SUM(E28:E29)</f>
        <v>595.6</v>
      </c>
      <c r="F30" s="22"/>
      <c r="G30" s="18">
        <f>-581.4-SUM(G28:G29)</f>
        <v>-561.9</v>
      </c>
      <c r="H30" s="16">
        <f>C30/C29-1</f>
        <v>-0.0260093675589397</v>
      </c>
      <c r="I30" s="16">
        <f>(E30+F30+G30-C30)/C30</f>
        <v>-0.990946457835209</v>
      </c>
      <c r="J30" s="16">
        <f>AVERAGE(I27:I30)</f>
        <v>-1.27778370252801</v>
      </c>
      <c r="K30" s="16"/>
    </row>
    <row r="31" ht="20.05" customHeight="1">
      <c r="B31" s="31"/>
      <c r="C31" s="17">
        <f>16529.8-SUM(C28:C30)</f>
        <v>5578.2</v>
      </c>
      <c r="D31" s="14">
        <v>3908.415</v>
      </c>
      <c r="E31" s="18">
        <f>2194+418.8-SUM(E28:E30)</f>
        <v>827.2</v>
      </c>
      <c r="F31" s="22"/>
      <c r="G31" s="18">
        <f>-1623.2-SUM(G28:G30)</f>
        <v>-1041.8</v>
      </c>
      <c r="H31" s="16">
        <f>C31/C30-1</f>
        <v>0.498589581710233</v>
      </c>
      <c r="I31" s="16">
        <f>(E31+F31+G31-C31)/C31</f>
        <v>-1.03847119142376</v>
      </c>
      <c r="J31" s="16">
        <f>AVERAGE(I28:I31)</f>
        <v>-0.908872175520607</v>
      </c>
      <c r="K31" s="16"/>
    </row>
    <row r="32" ht="20.05" customHeight="1">
      <c r="B32" s="32">
        <v>2022</v>
      </c>
      <c r="C32" s="17">
        <v>3335.9</v>
      </c>
      <c r="D32" s="14">
        <v>5410.854</v>
      </c>
      <c r="E32" s="18">
        <f>13.6+315.3+8</f>
        <v>336.9</v>
      </c>
      <c r="F32" s="22"/>
      <c r="G32" s="18">
        <v>-495.2</v>
      </c>
      <c r="H32" s="16">
        <f>C32/C31-1</f>
        <v>-0.401975547667706</v>
      </c>
      <c r="I32" s="16">
        <f>(E32+F32+G32-C32)/C32</f>
        <v>-1.04745346083516</v>
      </c>
      <c r="J32" s="16">
        <f>AVERAGE(I29:I32)</f>
        <v>-0.995825046539939</v>
      </c>
      <c r="K32" s="16">
        <f>J32</f>
        <v>-0.995825046539939</v>
      </c>
    </row>
    <row r="33" ht="20.05" customHeight="1">
      <c r="B33" s="31"/>
      <c r="C33" s="17"/>
      <c r="D33" s="14">
        <f>'Model'!C6</f>
        <v>3669.49</v>
      </c>
      <c r="E33" s="22"/>
      <c r="F33" s="22"/>
      <c r="G33" s="18"/>
      <c r="H33" s="12"/>
      <c r="I33" s="34"/>
      <c r="J33" s="12"/>
      <c r="K33" s="16">
        <f>'Model'!C7</f>
        <v>-0.908872175520607</v>
      </c>
    </row>
    <row r="34" ht="20.05" customHeight="1">
      <c r="B34" s="31"/>
      <c r="C34" s="17"/>
      <c r="D34" s="18">
        <f>'Model'!D6</f>
        <v>3852.9645</v>
      </c>
      <c r="E34" s="22"/>
      <c r="F34" s="22"/>
      <c r="G34" s="18"/>
      <c r="H34" s="12"/>
      <c r="I34" s="12"/>
      <c r="J34" s="12"/>
      <c r="K34" s="12"/>
    </row>
    <row r="35" ht="20.05" customHeight="1">
      <c r="B35" s="31"/>
      <c r="C35" s="17"/>
      <c r="D35" s="18">
        <f>'Model'!E6</f>
        <v>3968.553435</v>
      </c>
      <c r="E35" s="18">
        <f>SUM(C24:C32)</f>
        <v>31832</v>
      </c>
      <c r="F35" s="18">
        <f>SUM(D24:D32)</f>
        <v>32330.38348</v>
      </c>
      <c r="G35" s="18"/>
      <c r="H35" s="12"/>
      <c r="I35" s="12"/>
      <c r="J35" s="12"/>
      <c r="K35" s="12"/>
    </row>
    <row r="36" ht="20.05" customHeight="1">
      <c r="B36" s="32">
        <v>2023</v>
      </c>
      <c r="C36" s="17"/>
      <c r="D36" s="18">
        <f>'Model'!F6</f>
        <v>4087.61003805</v>
      </c>
      <c r="E36" s="22"/>
      <c r="F36" s="22"/>
      <c r="G36" s="18"/>
      <c r="H36" s="12"/>
      <c r="I36" s="12"/>
      <c r="J36" s="12"/>
      <c r="K36" s="1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85938" style="35" customWidth="1"/>
    <col min="2" max="2" width="8.74219" style="35" customWidth="1"/>
    <col min="3" max="3" width="11.3594" style="35" customWidth="1"/>
    <col min="4" max="4" width="11" style="35" customWidth="1"/>
    <col min="5" max="5" width="10.8125" style="35" customWidth="1"/>
    <col min="6" max="6" width="11" style="35" customWidth="1"/>
    <col min="7" max="15" width="10.125" style="35" customWidth="1"/>
    <col min="16" max="16384" width="16.3516" style="35" customWidth="1"/>
  </cols>
  <sheetData>
    <row r="1" ht="46.7" customHeight="1"/>
    <row r="2" ht="27.65" customHeight="1">
      <c r="B2" t="s" s="2">
        <v>35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49</v>
      </c>
      <c r="D3" t="s" s="5">
        <v>8</v>
      </c>
      <c r="E3" t="s" s="5">
        <v>9</v>
      </c>
      <c r="F3" t="s" s="5">
        <v>10</v>
      </c>
      <c r="G3" t="s" s="5">
        <v>50</v>
      </c>
      <c r="H3" t="s" s="5">
        <v>15</v>
      </c>
      <c r="I3" t="s" s="5">
        <v>51</v>
      </c>
      <c r="J3" t="s" s="5">
        <v>52</v>
      </c>
      <c r="K3" t="s" s="5">
        <v>3</v>
      </c>
      <c r="L3" t="s" s="5">
        <v>37</v>
      </c>
      <c r="M3" t="s" s="5">
        <v>53</v>
      </c>
      <c r="N3" t="s" s="5">
        <v>37</v>
      </c>
      <c r="O3" t="s" s="5">
        <v>54</v>
      </c>
    </row>
    <row r="4" ht="20.25" customHeight="1">
      <c r="B4" s="26">
        <v>2015</v>
      </c>
      <c r="C4" s="27">
        <v>2134</v>
      </c>
      <c r="D4" s="29">
        <v>-858</v>
      </c>
      <c r="E4" s="29">
        <v>926</v>
      </c>
      <c r="F4" s="29"/>
      <c r="G4" s="29"/>
      <c r="H4" s="29"/>
      <c r="I4" s="29">
        <v>-171</v>
      </c>
      <c r="J4" s="29">
        <f>D4+E4+F4</f>
        <v>68</v>
      </c>
      <c r="K4" s="28"/>
      <c r="L4" s="29"/>
      <c r="M4" s="29">
        <f>-(I4-F4)</f>
        <v>171</v>
      </c>
      <c r="N4" s="29"/>
      <c r="O4" s="29">
        <v>1</v>
      </c>
    </row>
    <row r="5" ht="20.05" customHeight="1">
      <c r="B5" s="31"/>
      <c r="C5" s="17">
        <v>2174</v>
      </c>
      <c r="D5" s="18">
        <v>-1204</v>
      </c>
      <c r="E5" s="18">
        <v>-524</v>
      </c>
      <c r="F5" s="18"/>
      <c r="G5" s="18"/>
      <c r="H5" s="18"/>
      <c r="I5" s="18">
        <v>262</v>
      </c>
      <c r="J5" s="18">
        <f>D5+E5+F5</f>
        <v>-1728</v>
      </c>
      <c r="K5" s="22"/>
      <c r="L5" s="18"/>
      <c r="M5" s="18">
        <f>-(I5-F5)+M4</f>
        <v>-91</v>
      </c>
      <c r="N5" s="18"/>
      <c r="O5" s="18">
        <f>O4+1</f>
        <v>2</v>
      </c>
    </row>
    <row r="6" ht="20.05" customHeight="1">
      <c r="B6" s="31"/>
      <c r="C6" s="17">
        <v>2135</v>
      </c>
      <c r="D6" s="18">
        <v>-272</v>
      </c>
      <c r="E6" s="18">
        <v>-13</v>
      </c>
      <c r="F6" s="18"/>
      <c r="G6" s="18"/>
      <c r="H6" s="18"/>
      <c r="I6" s="18">
        <v>-123</v>
      </c>
      <c r="J6" s="18">
        <f>D6+E6+F6</f>
        <v>-285</v>
      </c>
      <c r="K6" s="22"/>
      <c r="L6" s="18"/>
      <c r="M6" s="18">
        <f>-(I6-F6)+M5</f>
        <v>32</v>
      </c>
      <c r="N6" s="18"/>
      <c r="O6" s="18">
        <f>O5+1</f>
        <v>3</v>
      </c>
    </row>
    <row r="7" ht="20.05" customHeight="1">
      <c r="B7" s="31"/>
      <c r="C7" s="17">
        <v>2196</v>
      </c>
      <c r="D7" s="18">
        <v>-501</v>
      </c>
      <c r="E7" s="18">
        <v>-60</v>
      </c>
      <c r="F7" s="18"/>
      <c r="G7" s="18"/>
      <c r="H7" s="18"/>
      <c r="I7" s="18">
        <v>785</v>
      </c>
      <c r="J7" s="18">
        <f>D7+E7+F7</f>
        <v>-561</v>
      </c>
      <c r="K7" s="22"/>
      <c r="L7" s="18"/>
      <c r="M7" s="18">
        <f>-(I7-F7)+M6</f>
        <v>-753</v>
      </c>
      <c r="N7" s="18"/>
      <c r="O7" s="18">
        <f>O6+1</f>
        <v>4</v>
      </c>
    </row>
    <row r="8" ht="20.05" customHeight="1">
      <c r="B8" s="32">
        <v>2016</v>
      </c>
      <c r="C8" s="17">
        <v>2660</v>
      </c>
      <c r="D8" s="18">
        <v>402</v>
      </c>
      <c r="E8" s="18">
        <v>-218</v>
      </c>
      <c r="F8" s="18"/>
      <c r="G8" s="18"/>
      <c r="H8" s="18"/>
      <c r="I8" s="18">
        <v>-46</v>
      </c>
      <c r="J8" s="18">
        <f>D8+E8+F8</f>
        <v>184</v>
      </c>
      <c r="K8" s="18">
        <f>AVERAGE(J5:J8)</f>
        <v>-597.5</v>
      </c>
      <c r="L8" s="18"/>
      <c r="M8" s="18">
        <f>-(I8-F8)+M7</f>
        <v>-707</v>
      </c>
      <c r="N8" s="18"/>
      <c r="O8" s="18">
        <f>O7+1</f>
        <v>5</v>
      </c>
    </row>
    <row r="9" ht="20.05" customHeight="1">
      <c r="B9" s="31"/>
      <c r="C9" s="17">
        <v>2155</v>
      </c>
      <c r="D9" s="18">
        <v>-734</v>
      </c>
      <c r="E9" s="18">
        <v>-98</v>
      </c>
      <c r="F9" s="18"/>
      <c r="G9" s="18"/>
      <c r="H9" s="18"/>
      <c r="I9" s="18">
        <v>646</v>
      </c>
      <c r="J9" s="18">
        <f>D9+E9+F9</f>
        <v>-832</v>
      </c>
      <c r="K9" s="18">
        <f>AVERAGE(J6:J9)</f>
        <v>-373.5</v>
      </c>
      <c r="L9" s="18"/>
      <c r="M9" s="18">
        <f>-(I9-F9)+M8</f>
        <v>-1353</v>
      </c>
      <c r="N9" s="18"/>
      <c r="O9" s="18">
        <f>O8+1</f>
        <v>6</v>
      </c>
    </row>
    <row r="10" ht="20.05" customHeight="1">
      <c r="B10" s="31"/>
      <c r="C10" s="17">
        <v>1989</v>
      </c>
      <c r="D10" s="18">
        <v>-931</v>
      </c>
      <c r="E10" s="18">
        <v>1021</v>
      </c>
      <c r="F10" s="18"/>
      <c r="G10" s="18"/>
      <c r="H10" s="18"/>
      <c r="I10" s="18">
        <v>190</v>
      </c>
      <c r="J10" s="18">
        <f>D10+E10+F10</f>
        <v>90</v>
      </c>
      <c r="K10" s="18">
        <f>AVERAGE(J7:J10)</f>
        <v>-279.75</v>
      </c>
      <c r="L10" s="18"/>
      <c r="M10" s="18">
        <f>-(I10-F10)+M9</f>
        <v>-1543</v>
      </c>
      <c r="N10" s="18"/>
      <c r="O10" s="18">
        <f>O9+1</f>
        <v>7</v>
      </c>
    </row>
    <row r="11" ht="20.05" customHeight="1">
      <c r="B11" s="31"/>
      <c r="C11" s="17">
        <v>3275</v>
      </c>
      <c r="D11" s="18">
        <v>854</v>
      </c>
      <c r="E11" s="18">
        <v>-226</v>
      </c>
      <c r="F11" s="18"/>
      <c r="G11" s="18"/>
      <c r="H11" s="18"/>
      <c r="I11" s="18">
        <v>561</v>
      </c>
      <c r="J11" s="18">
        <f>D11+E11+F11</f>
        <v>628</v>
      </c>
      <c r="K11" s="18">
        <f>AVERAGE(J8:J11)</f>
        <v>17.5</v>
      </c>
      <c r="L11" s="18"/>
      <c r="M11" s="18">
        <f>-(I11-F11)+M10</f>
        <v>-2104</v>
      </c>
      <c r="N11" s="18"/>
      <c r="O11" s="18">
        <f>O10+1</f>
        <v>8</v>
      </c>
    </row>
    <row r="12" ht="20.05" customHeight="1">
      <c r="B12" s="32">
        <v>2017</v>
      </c>
      <c r="C12" s="17">
        <v>2176</v>
      </c>
      <c r="D12" s="18">
        <v>-437</v>
      </c>
      <c r="E12" s="18">
        <v>-426</v>
      </c>
      <c r="F12" s="18"/>
      <c r="G12" s="18"/>
      <c r="H12" s="18"/>
      <c r="I12" s="18">
        <v>-297</v>
      </c>
      <c r="J12" s="18">
        <f>D12+E12+F12</f>
        <v>-863</v>
      </c>
      <c r="K12" s="18">
        <f>AVERAGE(J9:J12)</f>
        <v>-244.25</v>
      </c>
      <c r="L12" s="18"/>
      <c r="M12" s="18">
        <f>-(I12-F12)+M11</f>
        <v>-1807</v>
      </c>
      <c r="N12" s="18"/>
      <c r="O12" s="18">
        <f>O11+1</f>
        <v>9</v>
      </c>
    </row>
    <row r="13" ht="20.05" customHeight="1">
      <c r="B13" s="31"/>
      <c r="C13" s="17">
        <v>2426</v>
      </c>
      <c r="D13" s="18">
        <v>-208</v>
      </c>
      <c r="E13" s="18">
        <v>-316</v>
      </c>
      <c r="F13" s="18"/>
      <c r="G13" s="18"/>
      <c r="H13" s="18"/>
      <c r="I13" s="18">
        <v>-17</v>
      </c>
      <c r="J13" s="18">
        <f>D13+E13+F13</f>
        <v>-524</v>
      </c>
      <c r="K13" s="18">
        <f>AVERAGE(J10:J13)</f>
        <v>-167.25</v>
      </c>
      <c r="L13" s="18"/>
      <c r="M13" s="18">
        <f>-(I13-F13)+M12</f>
        <v>-1790</v>
      </c>
      <c r="N13" s="18"/>
      <c r="O13" s="18">
        <f>O12+1</f>
        <v>10</v>
      </c>
    </row>
    <row r="14" ht="20.05" customHeight="1">
      <c r="B14" s="31"/>
      <c r="C14" s="17">
        <v>3493</v>
      </c>
      <c r="D14" s="18">
        <v>-2649</v>
      </c>
      <c r="E14" s="18">
        <v>-1</v>
      </c>
      <c r="F14" s="18"/>
      <c r="G14" s="18"/>
      <c r="H14" s="18"/>
      <c r="I14" s="18">
        <v>2599</v>
      </c>
      <c r="J14" s="18">
        <f>D14+E14+F14</f>
        <v>-2650</v>
      </c>
      <c r="K14" s="18">
        <f>AVERAGE(J11:J14)</f>
        <v>-852.25</v>
      </c>
      <c r="L14" s="18"/>
      <c r="M14" s="18">
        <f>-(I14-F14)+M13</f>
        <v>-4389</v>
      </c>
      <c r="N14" s="18"/>
      <c r="O14" s="18">
        <f>O13+1</f>
        <v>11</v>
      </c>
    </row>
    <row r="15" ht="20.05" customHeight="1">
      <c r="B15" s="31"/>
      <c r="C15" s="17">
        <v>4733</v>
      </c>
      <c r="D15" s="18">
        <v>-1213</v>
      </c>
      <c r="E15" s="18">
        <v>-1330</v>
      </c>
      <c r="F15" s="18"/>
      <c r="G15" s="18"/>
      <c r="H15" s="18"/>
      <c r="I15" s="18">
        <v>3579</v>
      </c>
      <c r="J15" s="18">
        <f>D15+E15+F15</f>
        <v>-2543</v>
      </c>
      <c r="K15" s="18">
        <f>AVERAGE(J12:J15)</f>
        <v>-1645</v>
      </c>
      <c r="L15" s="18"/>
      <c r="M15" s="18">
        <f>-(I15-F15)+M14</f>
        <v>-7968</v>
      </c>
      <c r="N15" s="18"/>
      <c r="O15" s="18">
        <f>O14+1</f>
        <v>12</v>
      </c>
    </row>
    <row r="16" ht="20.05" customHeight="1">
      <c r="B16" s="32">
        <v>2018</v>
      </c>
      <c r="C16" s="17">
        <v>2699</v>
      </c>
      <c r="D16" s="18">
        <v>-501</v>
      </c>
      <c r="E16" s="18">
        <v>20</v>
      </c>
      <c r="F16" s="18"/>
      <c r="G16" s="18"/>
      <c r="H16" s="18"/>
      <c r="I16" s="18">
        <v>-187</v>
      </c>
      <c r="J16" s="18">
        <f>D16+E16+F16</f>
        <v>-481</v>
      </c>
      <c r="K16" s="18">
        <f>AVERAGE(J13:J16)</f>
        <v>-1549.5</v>
      </c>
      <c r="L16" s="18"/>
      <c r="M16" s="18">
        <f>-(I16-F16)+M15</f>
        <v>-7781</v>
      </c>
      <c r="N16" s="18"/>
      <c r="O16" s="18">
        <f>O15+1</f>
        <v>13</v>
      </c>
    </row>
    <row r="17" ht="20.05" customHeight="1">
      <c r="B17" s="31"/>
      <c r="C17" s="17">
        <v>3849</v>
      </c>
      <c r="D17" s="18">
        <v>-909</v>
      </c>
      <c r="E17" s="18">
        <v>-76</v>
      </c>
      <c r="F17" s="18"/>
      <c r="G17" s="18"/>
      <c r="H17" s="18"/>
      <c r="I17" s="18">
        <v>985</v>
      </c>
      <c r="J17" s="18">
        <f>D17+E17+F17</f>
        <v>-985</v>
      </c>
      <c r="K17" s="18">
        <f>AVERAGE(J14:J17)</f>
        <v>-1664.75</v>
      </c>
      <c r="L17" s="18"/>
      <c r="M17" s="18">
        <f>-(I17-F17)+M16</f>
        <v>-8766</v>
      </c>
      <c r="N17" s="18"/>
      <c r="O17" s="18">
        <f>O16+1</f>
        <v>14</v>
      </c>
    </row>
    <row r="18" ht="20.05" customHeight="1">
      <c r="B18" s="31"/>
      <c r="C18" s="17">
        <v>2542</v>
      </c>
      <c r="D18" s="18">
        <v>431</v>
      </c>
      <c r="E18" s="18">
        <v>-610</v>
      </c>
      <c r="F18" s="18"/>
      <c r="G18" s="18"/>
      <c r="H18" s="18"/>
      <c r="I18" s="18">
        <v>-113</v>
      </c>
      <c r="J18" s="18">
        <f>D18+E18+F18</f>
        <v>-179</v>
      </c>
      <c r="K18" s="18">
        <f>AVERAGE(J15:J18)</f>
        <v>-1047</v>
      </c>
      <c r="L18" s="18"/>
      <c r="M18" s="18">
        <f>-(I18-F18)+M17</f>
        <v>-8653</v>
      </c>
      <c r="N18" s="18"/>
      <c r="O18" s="18">
        <f>O17+1</f>
        <v>15</v>
      </c>
    </row>
    <row r="19" ht="20.05" customHeight="1">
      <c r="B19" s="31"/>
      <c r="C19" s="17">
        <v>3049</v>
      </c>
      <c r="D19" s="18">
        <v>-2430</v>
      </c>
      <c r="E19" s="18">
        <v>2558</v>
      </c>
      <c r="F19" s="18"/>
      <c r="G19" s="18"/>
      <c r="H19" s="18"/>
      <c r="I19" s="18">
        <v>-138</v>
      </c>
      <c r="J19" s="18">
        <f>D19+E19+F19</f>
        <v>128</v>
      </c>
      <c r="K19" s="18">
        <f>AVERAGE(J16:J19)</f>
        <v>-379.25</v>
      </c>
      <c r="L19" s="18"/>
      <c r="M19" s="18">
        <f>-(I19-F19)+M18</f>
        <v>-8515</v>
      </c>
      <c r="N19" s="18"/>
      <c r="O19" s="18">
        <f>O18+1</f>
        <v>16</v>
      </c>
    </row>
    <row r="20" ht="20.05" customHeight="1">
      <c r="B20" s="32">
        <v>2019</v>
      </c>
      <c r="C20" s="17">
        <v>2388.22</v>
      </c>
      <c r="D20" s="18">
        <v>-833</v>
      </c>
      <c r="E20" s="18">
        <v>-114</v>
      </c>
      <c r="F20" s="18"/>
      <c r="G20" s="18"/>
      <c r="H20" s="18"/>
      <c r="I20" s="18">
        <v>3890</v>
      </c>
      <c r="J20" s="18">
        <f>D20+E20+F20</f>
        <v>-947</v>
      </c>
      <c r="K20" s="18">
        <f>AVERAGE(J17:J20)</f>
        <v>-495.75</v>
      </c>
      <c r="L20" s="18"/>
      <c r="M20" s="18">
        <f>-(I20-F20)+M19</f>
        <v>-12405</v>
      </c>
      <c r="N20" s="18"/>
      <c r="O20" s="18">
        <f>O19+1</f>
        <v>17</v>
      </c>
    </row>
    <row r="21" ht="20.05" customHeight="1">
      <c r="B21" s="31"/>
      <c r="C21" s="17">
        <v>1753.78</v>
      </c>
      <c r="D21" s="18">
        <v>-1524</v>
      </c>
      <c r="E21" s="18">
        <v>345</v>
      </c>
      <c r="F21" s="18"/>
      <c r="G21" s="18"/>
      <c r="H21" s="18"/>
      <c r="I21" s="18">
        <v>1248</v>
      </c>
      <c r="J21" s="18">
        <f>D21+E21+F21</f>
        <v>-1179</v>
      </c>
      <c r="K21" s="18">
        <f>AVERAGE(J18:J21)</f>
        <v>-544.25</v>
      </c>
      <c r="L21" s="18"/>
      <c r="M21" s="18">
        <f>-(I21-F21)+M20</f>
        <v>-13653</v>
      </c>
      <c r="N21" s="18"/>
      <c r="O21" s="18">
        <f>O20+1</f>
        <v>18</v>
      </c>
    </row>
    <row r="22" ht="20.05" customHeight="1">
      <c r="B22" s="31"/>
      <c r="C22" s="17">
        <v>2576</v>
      </c>
      <c r="D22" s="18">
        <v>-880</v>
      </c>
      <c r="E22" s="18">
        <v>-3278</v>
      </c>
      <c r="F22" s="18"/>
      <c r="G22" s="18"/>
      <c r="H22" s="18"/>
      <c r="I22" s="18">
        <v>4540</v>
      </c>
      <c r="J22" s="18">
        <f>D22+E22+F22</f>
        <v>-4158</v>
      </c>
      <c r="K22" s="18">
        <f>AVERAGE(J19:J22)</f>
        <v>-1539</v>
      </c>
      <c r="L22" s="18"/>
      <c r="M22" s="18">
        <f>-(I22-F22)+M21</f>
        <v>-18193</v>
      </c>
      <c r="N22" s="18"/>
      <c r="O22" s="18">
        <f>O21+1</f>
        <v>19</v>
      </c>
    </row>
    <row r="23" ht="20.05" customHeight="1">
      <c r="B23" s="31"/>
      <c r="C23" s="17">
        <v>3834</v>
      </c>
      <c r="D23" s="18">
        <v>-1302</v>
      </c>
      <c r="E23" s="18">
        <v>390</v>
      </c>
      <c r="F23" s="18">
        <v>-52</v>
      </c>
      <c r="G23" s="18"/>
      <c r="H23" s="18"/>
      <c r="I23" s="18">
        <v>437</v>
      </c>
      <c r="J23" s="18">
        <f>D23+E23+F23</f>
        <v>-964</v>
      </c>
      <c r="K23" s="18">
        <f>AVERAGE(J20:J23)</f>
        <v>-1812</v>
      </c>
      <c r="L23" s="18"/>
      <c r="M23" s="18">
        <f>-(I23-F23)+M22</f>
        <v>-18682</v>
      </c>
      <c r="N23" s="18"/>
      <c r="O23" s="18">
        <f>O22+1</f>
        <v>20</v>
      </c>
    </row>
    <row r="24" ht="20.05" customHeight="1">
      <c r="B24" s="32">
        <v>2020</v>
      </c>
      <c r="C24" s="17">
        <v>2801.9</v>
      </c>
      <c r="D24" s="18">
        <v>488.78</v>
      </c>
      <c r="E24" s="18">
        <v>-306.9</v>
      </c>
      <c r="F24" s="18">
        <v>-156</v>
      </c>
      <c r="G24" s="18"/>
      <c r="H24" s="18"/>
      <c r="I24" s="18">
        <v>-7.5</v>
      </c>
      <c r="J24" s="18">
        <f>D24+E24+F24</f>
        <v>25.88</v>
      </c>
      <c r="K24" s="18">
        <f>AVERAGE(J21:J24)</f>
        <v>-1568.78</v>
      </c>
      <c r="L24" s="18"/>
      <c r="M24" s="18">
        <f>-(I24-F24)+M23</f>
        <v>-18830.5</v>
      </c>
      <c r="N24" s="18"/>
      <c r="O24" s="18">
        <f>O23+1</f>
        <v>21</v>
      </c>
    </row>
    <row r="25" ht="20.05" customHeight="1">
      <c r="B25" s="31"/>
      <c r="C25" s="17">
        <v>2322.1</v>
      </c>
      <c r="D25" s="18">
        <v>-745.48</v>
      </c>
      <c r="E25" s="18">
        <v>-179.8</v>
      </c>
      <c r="F25" s="18">
        <v>-250.666666666667</v>
      </c>
      <c r="G25" s="18"/>
      <c r="H25" s="18"/>
      <c r="I25" s="18">
        <v>549.6</v>
      </c>
      <c r="J25" s="18">
        <f>D25+E25+F25</f>
        <v>-1175.946666666670</v>
      </c>
      <c r="K25" s="18">
        <f>AVERAGE(J22:J25)</f>
        <v>-1568.016666666670</v>
      </c>
      <c r="L25" s="18"/>
      <c r="M25" s="18">
        <f>-(I25-F25)+M24</f>
        <v>-19630.7666666667</v>
      </c>
      <c r="N25" s="18"/>
      <c r="O25" s="18">
        <f>O24+1</f>
        <v>22</v>
      </c>
    </row>
    <row r="26" ht="20.05" customHeight="1">
      <c r="B26" s="31"/>
      <c r="C26" s="17">
        <v>2894.96</v>
      </c>
      <c r="D26" s="18">
        <v>-617.17</v>
      </c>
      <c r="E26" s="18">
        <v>-828.915</v>
      </c>
      <c r="F26" s="18">
        <v>-250.666666666667</v>
      </c>
      <c r="G26" s="18"/>
      <c r="H26" s="18"/>
      <c r="I26" s="18">
        <v>450.4</v>
      </c>
      <c r="J26" s="18">
        <f>D26+E26+F26</f>
        <v>-1696.751666666670</v>
      </c>
      <c r="K26" s="18">
        <f>AVERAGE(J23:J26)</f>
        <v>-952.704583333335</v>
      </c>
      <c r="L26" s="18"/>
      <c r="M26" s="18">
        <f>-(I26-F26)+M25</f>
        <v>-20331.8333333334</v>
      </c>
      <c r="N26" s="18"/>
      <c r="O26" s="18">
        <f>O25+1</f>
        <v>23</v>
      </c>
    </row>
    <row r="27" ht="20.05" customHeight="1">
      <c r="B27" s="31"/>
      <c r="C27" s="17">
        <f>11687-SUM(C24:C26)</f>
        <v>3668.04</v>
      </c>
      <c r="D27" s="18">
        <f>-2373-SUM(D24:D26)</f>
        <v>-1499.13</v>
      </c>
      <c r="E27" s="18">
        <f>-420.6-SUM(E24:E26)</f>
        <v>895.015</v>
      </c>
      <c r="F27" s="18">
        <v>-250.666666666667</v>
      </c>
      <c r="G27" s="18"/>
      <c r="H27" s="18"/>
      <c r="I27" s="18">
        <f>1096.2-SUM(I24:I26)</f>
        <v>103.7</v>
      </c>
      <c r="J27" s="18">
        <f>D27+E27+F27</f>
        <v>-854.781666666667</v>
      </c>
      <c r="K27" s="18">
        <f>AVERAGE(J24:J27)</f>
        <v>-925.400000000002</v>
      </c>
      <c r="L27" s="18"/>
      <c r="M27" s="18">
        <f>-(I27-F27)+M26</f>
        <v>-20686.2000000001</v>
      </c>
      <c r="N27" s="18"/>
      <c r="O27" s="18">
        <f>O26+1</f>
        <v>24</v>
      </c>
    </row>
    <row r="28" ht="20.05" customHeight="1">
      <c r="B28" s="32">
        <v>2021</v>
      </c>
      <c r="C28" s="17">
        <v>2893.5</v>
      </c>
      <c r="D28" s="18">
        <v>293.2</v>
      </c>
      <c r="E28" s="18">
        <v>2092</v>
      </c>
      <c r="F28" s="18">
        <v>-458</v>
      </c>
      <c r="G28" s="18">
        <f>I28-H28-F28</f>
        <v>500.3</v>
      </c>
      <c r="H28" s="18">
        <f t="shared" si="96" ref="H28:H30">0</f>
        <v>0</v>
      </c>
      <c r="I28" s="18">
        <v>42.3</v>
      </c>
      <c r="J28" s="18">
        <f>D28+E28+F28</f>
        <v>1927.2</v>
      </c>
      <c r="K28" s="18">
        <f>AVERAGE(J25:J28)</f>
        <v>-450.070000000002</v>
      </c>
      <c r="L28" s="18"/>
      <c r="M28" s="18">
        <f>-(G28+H28)+M27</f>
        <v>-21186.5000000001</v>
      </c>
      <c r="N28" s="18"/>
      <c r="O28" s="18">
        <f>O27+1</f>
        <v>25</v>
      </c>
    </row>
    <row r="29" ht="20.05" customHeight="1">
      <c r="B29" s="31"/>
      <c r="C29" s="17">
        <f>6203.3-C28</f>
        <v>3309.8</v>
      </c>
      <c r="D29" s="18">
        <f>-385.5-D28</f>
        <v>-678.7</v>
      </c>
      <c r="E29" s="18">
        <f>1914-E28</f>
        <v>-178</v>
      </c>
      <c r="F29" s="18">
        <f>-420.7-F28</f>
        <v>37.3</v>
      </c>
      <c r="G29" s="18">
        <f>I29-H29-F29</f>
        <v>1258.2</v>
      </c>
      <c r="H29" s="18">
        <f t="shared" si="96"/>
        <v>0</v>
      </c>
      <c r="I29" s="18">
        <f>1337.8-I28</f>
        <v>1295.5</v>
      </c>
      <c r="J29" s="18">
        <f>D29+E29+F29</f>
        <v>-819.4</v>
      </c>
      <c r="K29" s="18">
        <f>AVERAGE(J26:J29)</f>
        <v>-360.933333333334</v>
      </c>
      <c r="L29" s="18"/>
      <c r="M29" s="18">
        <f>-(G29+H29)+M28</f>
        <v>-22444.7000000001</v>
      </c>
      <c r="N29" s="18"/>
      <c r="O29" s="18">
        <f>O28+1</f>
        <v>26</v>
      </c>
    </row>
    <row r="30" ht="20.05" customHeight="1">
      <c r="B30" s="31"/>
      <c r="C30" s="17">
        <f>10076.3-SUM(C28:C29)</f>
        <v>3873</v>
      </c>
      <c r="D30" s="18">
        <f>-936.4-SUM(D28:D29)</f>
        <v>-550.9</v>
      </c>
      <c r="E30" s="18">
        <f>1991.4-SUM(E28:E29)</f>
        <v>77.40000000000001</v>
      </c>
      <c r="F30" s="18">
        <f>-427.6-SUM(F28:F29)</f>
        <v>-6.9</v>
      </c>
      <c r="G30" s="18">
        <f>I30-H30-F30</f>
        <v>-190.5</v>
      </c>
      <c r="H30" s="18">
        <f t="shared" si="96"/>
        <v>0</v>
      </c>
      <c r="I30" s="18">
        <f>1140.4-SUM(I28:I29)</f>
        <v>-197.4</v>
      </c>
      <c r="J30" s="18">
        <f>D30+E30+F30</f>
        <v>-480.4</v>
      </c>
      <c r="K30" s="18">
        <f>AVERAGE(J27:J30)</f>
        <v>-56.8454166666668</v>
      </c>
      <c r="L30" s="18"/>
      <c r="M30" s="18">
        <f>-(G30+H30)+M29</f>
        <v>-22254.2000000001</v>
      </c>
      <c r="N30" s="18"/>
      <c r="O30" s="18">
        <f>O29+1</f>
        <v>27</v>
      </c>
    </row>
    <row r="31" ht="20.05" customHeight="1">
      <c r="B31" s="31"/>
      <c r="C31" s="17">
        <f>15613.5-SUM(C28:C30)</f>
        <v>5537.2</v>
      </c>
      <c r="D31" s="18">
        <f>1628-SUM(D28:D30)</f>
        <v>2564.4</v>
      </c>
      <c r="E31" s="18">
        <f>-2061.1-SUM(E28:E30)</f>
        <v>-4052.5</v>
      </c>
      <c r="F31" s="18">
        <f>-669.6-SUM(F28:F30)</f>
        <v>-242</v>
      </c>
      <c r="G31" s="18">
        <f>I31-H31-F31</f>
        <v>1681.5</v>
      </c>
      <c r="H31" s="18">
        <f>-58.8+3.5-197.3-SUM(H28:H30)</f>
        <v>-252.6</v>
      </c>
      <c r="I31" s="18">
        <f>2327.3-SUM(I28:I30)</f>
        <v>1186.9</v>
      </c>
      <c r="J31" s="18">
        <f>D31+E31+F31</f>
        <v>-1730.1</v>
      </c>
      <c r="K31" s="18">
        <f>AVERAGE(J28:J31)</f>
        <v>-275.675</v>
      </c>
      <c r="L31" s="18"/>
      <c r="M31" s="18">
        <f>-(G31+H31)+M30</f>
        <v>-23683.1000000001</v>
      </c>
      <c r="N31" s="18"/>
      <c r="O31" s="18">
        <f>O30+1</f>
        <v>28</v>
      </c>
    </row>
    <row r="32" ht="20.05" customHeight="1">
      <c r="B32" s="32">
        <v>2022</v>
      </c>
      <c r="C32" s="17">
        <v>3618.3</v>
      </c>
      <c r="D32" s="18">
        <v>105.6</v>
      </c>
      <c r="E32" s="18">
        <v>-163.9</v>
      </c>
      <c r="F32" s="18">
        <v>-128.3</v>
      </c>
      <c r="G32" s="18">
        <f>I32-H32-F32</f>
        <v>-286.6</v>
      </c>
      <c r="H32" s="18">
        <v>0</v>
      </c>
      <c r="I32" s="18">
        <v>-414.9</v>
      </c>
      <c r="J32" s="18">
        <f>D32+E32+F32</f>
        <v>-186.6</v>
      </c>
      <c r="K32" s="18">
        <f>AVERAGE(J29:J32)</f>
        <v>-804.125</v>
      </c>
      <c r="L32" s="18">
        <f>K32</f>
        <v>-804.125</v>
      </c>
      <c r="M32" s="18">
        <f>-(G32+H32)+M31</f>
        <v>-23396.5000000001</v>
      </c>
      <c r="N32" s="18">
        <f>M32</f>
        <v>-23396.5000000001</v>
      </c>
      <c r="O32" s="18">
        <f>O31+1</f>
        <v>29</v>
      </c>
    </row>
    <row r="33" ht="20.05" customHeight="1">
      <c r="B33" s="31"/>
      <c r="C33" s="17"/>
      <c r="D33" s="18"/>
      <c r="E33" s="18"/>
      <c r="F33" s="18"/>
      <c r="G33" s="18"/>
      <c r="H33" s="18"/>
      <c r="I33" s="18"/>
      <c r="J33" s="18"/>
      <c r="K33" s="34"/>
      <c r="L33" s="18">
        <f>SUM('Model'!F9:F11)</f>
        <v>123.620010087630</v>
      </c>
      <c r="M33" s="34"/>
      <c r="N33" s="18">
        <f>'Model'!F34</f>
        <v>-22292.5544357205</v>
      </c>
      <c r="O33" s="18"/>
    </row>
    <row r="34" ht="20.05" customHeight="1">
      <c r="B34" s="31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6" customWidth="1"/>
    <col min="2" max="2" width="9.23438" style="36" customWidth="1"/>
    <col min="3" max="5" width="10.3594" style="36" customWidth="1"/>
    <col min="6" max="6" width="8.89062" style="36" customWidth="1"/>
    <col min="7" max="11" width="10.3594" style="36" customWidth="1"/>
    <col min="12" max="16384" width="16.3516" style="36" customWidth="1"/>
  </cols>
  <sheetData>
    <row r="1" ht="35.7" customHeight="1"/>
    <row r="2" ht="27.65" customHeight="1">
      <c r="B2" t="s" s="2">
        <v>23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55</v>
      </c>
      <c r="D3" t="s" s="5">
        <v>56</v>
      </c>
      <c r="E3" t="s" s="5">
        <v>24</v>
      </c>
      <c r="F3" t="s" s="5">
        <v>25</v>
      </c>
      <c r="G3" t="s" s="5">
        <v>12</v>
      </c>
      <c r="H3" t="s" s="5">
        <v>27</v>
      </c>
      <c r="I3" t="s" s="5">
        <v>28</v>
      </c>
      <c r="J3" t="s" s="5">
        <v>57</v>
      </c>
      <c r="K3" t="s" s="5">
        <v>37</v>
      </c>
    </row>
    <row r="4" ht="20.25" customHeight="1">
      <c r="B4" s="26">
        <v>2015</v>
      </c>
      <c r="C4" s="27">
        <v>3445</v>
      </c>
      <c r="D4" s="29">
        <v>39641</v>
      </c>
      <c r="E4" s="29">
        <f>D4-C4</f>
        <v>36196</v>
      </c>
      <c r="F4" s="29">
        <f>9+1956+94</f>
        <v>2059</v>
      </c>
      <c r="G4" s="29">
        <v>20127</v>
      </c>
      <c r="H4" s="29">
        <v>19514</v>
      </c>
      <c r="I4" s="29">
        <f>G4+H4-C4-E4</f>
        <v>0</v>
      </c>
      <c r="J4" s="29">
        <f>C4-G4</f>
        <v>-16682</v>
      </c>
      <c r="K4" s="29"/>
    </row>
    <row r="5" ht="20.05" customHeight="1">
      <c r="B5" s="31"/>
      <c r="C5" s="17">
        <v>2033</v>
      </c>
      <c r="D5" s="18">
        <v>40789</v>
      </c>
      <c r="E5" s="18">
        <f>D5-C5</f>
        <v>38756</v>
      </c>
      <c r="F5" s="18">
        <f>102+2060+9</f>
        <v>2171</v>
      </c>
      <c r="G5" s="18">
        <v>20757</v>
      </c>
      <c r="H5" s="18">
        <v>20032</v>
      </c>
      <c r="I5" s="18">
        <f>G5+H5-C5-E5</f>
        <v>0</v>
      </c>
      <c r="J5" s="18">
        <f>C5-G5</f>
        <v>-18724</v>
      </c>
      <c r="K5" s="18"/>
    </row>
    <row r="6" ht="20.05" customHeight="1">
      <c r="B6" s="31"/>
      <c r="C6" s="17">
        <v>1584</v>
      </c>
      <c r="D6" s="18">
        <v>40865</v>
      </c>
      <c r="E6" s="18">
        <f>D6-C6</f>
        <v>39281</v>
      </c>
      <c r="F6" s="18">
        <f>107+2173+16</f>
        <v>2296</v>
      </c>
      <c r="G6" s="18">
        <v>22093</v>
      </c>
      <c r="H6" s="18">
        <v>18772</v>
      </c>
      <c r="I6" s="18">
        <f>G6+H6-C6-E6</f>
        <v>0</v>
      </c>
      <c r="J6" s="18">
        <f>C6-G6</f>
        <v>-20509</v>
      </c>
      <c r="K6" s="18"/>
    </row>
    <row r="7" ht="20.05" customHeight="1">
      <c r="B7" s="31"/>
      <c r="C7" s="17">
        <v>1839</v>
      </c>
      <c r="D7" s="18">
        <v>41327</v>
      </c>
      <c r="E7" s="18">
        <f>D7-C7</f>
        <v>39488</v>
      </c>
      <c r="F7" s="18">
        <f>14+2321+113</f>
        <v>2448</v>
      </c>
      <c r="G7" s="18">
        <v>22410</v>
      </c>
      <c r="H7" s="18">
        <v>18917</v>
      </c>
      <c r="I7" s="18">
        <f>G7+H7-C7-E7</f>
        <v>0</v>
      </c>
      <c r="J7" s="18">
        <f>C7-G7</f>
        <v>-20571</v>
      </c>
      <c r="K7" s="18"/>
    </row>
    <row r="8" ht="20.05" customHeight="1">
      <c r="B8" s="32">
        <v>2016</v>
      </c>
      <c r="C8" s="17">
        <v>1971</v>
      </c>
      <c r="D8" s="18">
        <v>42033</v>
      </c>
      <c r="E8" s="18">
        <f>D8-C8</f>
        <v>40062</v>
      </c>
      <c r="F8" s="18">
        <f>118+2430+16</f>
        <v>2564</v>
      </c>
      <c r="G8" s="18">
        <v>22543</v>
      </c>
      <c r="H8" s="18">
        <v>19490</v>
      </c>
      <c r="I8" s="18">
        <f>G8+H8-C8-E8</f>
        <v>0</v>
      </c>
      <c r="J8" s="18">
        <f>C8-G8</f>
        <v>-20572</v>
      </c>
      <c r="K8" s="18"/>
    </row>
    <row r="9" ht="20.05" customHeight="1">
      <c r="B9" s="31"/>
      <c r="C9" s="17">
        <v>1782</v>
      </c>
      <c r="D9" s="18">
        <v>43026</v>
      </c>
      <c r="E9" s="18">
        <f>D9-C9</f>
        <v>41244</v>
      </c>
      <c r="F9" s="18">
        <f>36+2524+125</f>
        <v>2685</v>
      </c>
      <c r="G9" s="18">
        <v>23062</v>
      </c>
      <c r="H9" s="18">
        <v>19964</v>
      </c>
      <c r="I9" s="18">
        <f>G9+H9-C9-E9</f>
        <v>0</v>
      </c>
      <c r="J9" s="18">
        <f>C9-G9</f>
        <v>-21280</v>
      </c>
      <c r="K9" s="18"/>
    </row>
    <row r="10" ht="20.05" customHeight="1">
      <c r="B10" s="31"/>
      <c r="C10" s="17">
        <v>2055</v>
      </c>
      <c r="D10" s="18">
        <v>44822</v>
      </c>
      <c r="E10" s="18">
        <f>D10-C10</f>
        <v>42767</v>
      </c>
      <c r="F10" s="18">
        <f>132+2645+23</f>
        <v>2800</v>
      </c>
      <c r="G10" s="18">
        <v>23050</v>
      </c>
      <c r="H10" s="18">
        <v>21772</v>
      </c>
      <c r="I10" s="18">
        <f>G10+H10-C10-E10</f>
        <v>0</v>
      </c>
      <c r="J10" s="18">
        <f>C10-G10</f>
        <v>-20995</v>
      </c>
      <c r="K10" s="18"/>
    </row>
    <row r="11" ht="20.05" customHeight="1">
      <c r="B11" s="31"/>
      <c r="C11" s="17">
        <v>3250</v>
      </c>
      <c r="D11" s="18">
        <v>45604</v>
      </c>
      <c r="E11" s="18">
        <f>D11-C11</f>
        <v>42354</v>
      </c>
      <c r="F11" s="18">
        <f>27+2764+141</f>
        <v>2932</v>
      </c>
      <c r="G11" s="18">
        <v>23529</v>
      </c>
      <c r="H11" s="18">
        <v>22075</v>
      </c>
      <c r="I11" s="18">
        <f>G11+H11-C11-E11</f>
        <v>0</v>
      </c>
      <c r="J11" s="18">
        <f>C11-G11</f>
        <v>-20279</v>
      </c>
      <c r="K11" s="18"/>
    </row>
    <row r="12" ht="20.05" customHeight="1">
      <c r="B12" s="32">
        <v>2017</v>
      </c>
      <c r="C12" s="17">
        <v>2093</v>
      </c>
      <c r="D12" s="18">
        <v>46051</v>
      </c>
      <c r="E12" s="18">
        <f>D12-C12</f>
        <v>43958</v>
      </c>
      <c r="F12" s="18">
        <f>32+2901+149</f>
        <v>3082</v>
      </c>
      <c r="G12" s="18">
        <v>23187</v>
      </c>
      <c r="H12" s="18">
        <v>22864</v>
      </c>
      <c r="I12" s="18">
        <f>G12+H12-C12-E12</f>
        <v>0</v>
      </c>
      <c r="J12" s="18">
        <f>C12-G12</f>
        <v>-21094</v>
      </c>
      <c r="K12" s="18"/>
    </row>
    <row r="13" ht="20.05" customHeight="1">
      <c r="B13" s="31"/>
      <c r="C13" s="17">
        <v>1551</v>
      </c>
      <c r="D13" s="18">
        <v>46802</v>
      </c>
      <c r="E13" s="18">
        <f>D13-C13</f>
        <v>45251</v>
      </c>
      <c r="F13" s="18">
        <f>159+3046+38</f>
        <v>3243</v>
      </c>
      <c r="G13" s="18">
        <v>23208</v>
      </c>
      <c r="H13" s="18">
        <v>23594</v>
      </c>
      <c r="I13" s="18">
        <f>G13+H13-C13-E13</f>
        <v>0</v>
      </c>
      <c r="J13" s="18">
        <f>C13-G13</f>
        <v>-21657</v>
      </c>
      <c r="K13" s="18"/>
    </row>
    <row r="14" ht="20.05" customHeight="1">
      <c r="B14" s="31"/>
      <c r="C14" s="17">
        <v>1502</v>
      </c>
      <c r="D14" s="18">
        <v>52387</v>
      </c>
      <c r="E14" s="18">
        <f>D14-C14</f>
        <v>50885</v>
      </c>
      <c r="F14" s="18">
        <f>168+3191+49</f>
        <v>3408</v>
      </c>
      <c r="G14" s="18">
        <v>26147</v>
      </c>
      <c r="H14" s="18">
        <v>26240</v>
      </c>
      <c r="I14" s="18">
        <f>G14+H14-C14-E14</f>
        <v>0</v>
      </c>
      <c r="J14" s="18">
        <f>C14-G14</f>
        <v>-24645</v>
      </c>
      <c r="K14" s="18"/>
    </row>
    <row r="15" ht="20.05" customHeight="1">
      <c r="B15" s="31"/>
      <c r="C15" s="17">
        <v>2538</v>
      </c>
      <c r="D15" s="18">
        <v>56772</v>
      </c>
      <c r="E15" s="18">
        <f>D15-C15</f>
        <v>54234</v>
      </c>
      <c r="F15" s="18">
        <f>54+3335+173</f>
        <v>3562</v>
      </c>
      <c r="G15" s="18">
        <v>26912</v>
      </c>
      <c r="H15" s="18">
        <v>29860</v>
      </c>
      <c r="I15" s="18">
        <f>G15+H15-C15-E15</f>
        <v>0</v>
      </c>
      <c r="J15" s="18">
        <f>C15-G15</f>
        <v>-24374</v>
      </c>
      <c r="K15" s="18"/>
    </row>
    <row r="16" ht="20.05" customHeight="1">
      <c r="B16" s="32">
        <v>2018</v>
      </c>
      <c r="C16" s="17">
        <v>1873</v>
      </c>
      <c r="D16" s="18">
        <v>57637</v>
      </c>
      <c r="E16" s="18">
        <f>D16-C16</f>
        <v>55764</v>
      </c>
      <c r="F16" s="18">
        <f>181+3468+62</f>
        <v>3711</v>
      </c>
      <c r="G16" s="18">
        <v>27713</v>
      </c>
      <c r="H16" s="18">
        <v>29925</v>
      </c>
      <c r="I16" s="18">
        <f>G16+H16-C16-E16</f>
        <v>1</v>
      </c>
      <c r="J16" s="18">
        <f>C16-G16</f>
        <v>-25840</v>
      </c>
      <c r="K16" s="18"/>
    </row>
    <row r="17" ht="20.05" customHeight="1">
      <c r="B17" s="31"/>
      <c r="C17" s="17">
        <v>2121</v>
      </c>
      <c r="D17" s="18">
        <v>54105</v>
      </c>
      <c r="E17" s="18">
        <f>D17-C17</f>
        <v>51984</v>
      </c>
      <c r="F17" s="18">
        <f>94+3622+188</f>
        <v>3904</v>
      </c>
      <c r="G17" s="18">
        <v>25803</v>
      </c>
      <c r="H17" s="18">
        <v>28303</v>
      </c>
      <c r="I17" s="18">
        <f>G17+H17-C17-E17</f>
        <v>1</v>
      </c>
      <c r="J17" s="18">
        <f>C17-G17</f>
        <v>-23682</v>
      </c>
      <c r="K17" s="18"/>
    </row>
    <row r="18" ht="20.05" customHeight="1">
      <c r="B18" s="31"/>
      <c r="C18" s="17">
        <v>1849</v>
      </c>
      <c r="D18" s="18">
        <v>52985</v>
      </c>
      <c r="E18" s="18">
        <f>D18-C18</f>
        <v>51136</v>
      </c>
      <c r="F18" s="18">
        <f>196+3720+106</f>
        <v>4022</v>
      </c>
      <c r="G18" s="18">
        <v>25839</v>
      </c>
      <c r="H18" s="18">
        <v>27145</v>
      </c>
      <c r="I18" s="18">
        <f>G18+H18-C18-E18</f>
        <v>-1</v>
      </c>
      <c r="J18" s="18">
        <f>C18-G18</f>
        <v>-23990</v>
      </c>
      <c r="K18" s="18"/>
    </row>
    <row r="19" ht="20.05" customHeight="1">
      <c r="B19" s="31"/>
      <c r="C19" s="17">
        <v>1818</v>
      </c>
      <c r="D19" s="18">
        <v>49083</v>
      </c>
      <c r="E19" s="18">
        <f>D19-C19</f>
        <v>47265</v>
      </c>
      <c r="F19" s="18">
        <f>202+3747+99</f>
        <v>4048</v>
      </c>
      <c r="G19" s="18">
        <v>24336</v>
      </c>
      <c r="H19" s="18">
        <v>24747</v>
      </c>
      <c r="I19" s="18">
        <f>G19+H19-C19-E19</f>
        <v>0</v>
      </c>
      <c r="J19" s="18">
        <f>C19-G19</f>
        <v>-22518</v>
      </c>
      <c r="K19" s="18"/>
    </row>
    <row r="20" ht="20.05" customHeight="1">
      <c r="B20" s="32">
        <v>2019</v>
      </c>
      <c r="C20" s="17">
        <v>4759</v>
      </c>
      <c r="D20" s="18">
        <v>53833</v>
      </c>
      <c r="E20" s="18">
        <f>D20-C20</f>
        <v>49074</v>
      </c>
      <c r="F20" s="18">
        <f>212+3940+110</f>
        <v>4262</v>
      </c>
      <c r="G20" s="18">
        <v>23733</v>
      </c>
      <c r="H20" s="18">
        <v>30099</v>
      </c>
      <c r="I20" s="18">
        <f>G20+H20-C20-E20</f>
        <v>-1</v>
      </c>
      <c r="J20" s="18">
        <f>C20-G20</f>
        <v>-18974</v>
      </c>
      <c r="K20" s="18"/>
    </row>
    <row r="21" ht="20.05" customHeight="1">
      <c r="B21" s="31"/>
      <c r="C21" s="17">
        <v>4629</v>
      </c>
      <c r="D21" s="18">
        <v>52898</v>
      </c>
      <c r="E21" s="18">
        <f>D21-C21</f>
        <v>48269</v>
      </c>
      <c r="F21" s="18">
        <f>201+4112</f>
        <v>4313</v>
      </c>
      <c r="G21" s="18">
        <v>23236</v>
      </c>
      <c r="H21" s="18">
        <v>29662</v>
      </c>
      <c r="I21" s="18">
        <f>G21+H21-C21-E21</f>
        <v>0</v>
      </c>
      <c r="J21" s="18">
        <f>C21-G21</f>
        <v>-18607</v>
      </c>
      <c r="K21" s="18"/>
    </row>
    <row r="22" ht="20.05" customHeight="1">
      <c r="B22" s="31"/>
      <c r="C22" s="17">
        <v>5173</v>
      </c>
      <c r="D22" s="18">
        <v>56811</v>
      </c>
      <c r="E22" s="18">
        <f>D22-C22</f>
        <v>51638</v>
      </c>
      <c r="F22" s="18">
        <f>114+4273+121</f>
        <v>4508</v>
      </c>
      <c r="G22" s="18">
        <v>21683</v>
      </c>
      <c r="H22" s="18">
        <v>35128</v>
      </c>
      <c r="I22" s="18">
        <f>G22+H22-C22-E22</f>
        <v>0</v>
      </c>
      <c r="J22" s="18">
        <f>C22-G22</f>
        <v>-16510</v>
      </c>
      <c r="K22" s="33"/>
    </row>
    <row r="23" ht="20.05" customHeight="1">
      <c r="B23" s="31"/>
      <c r="C23" s="17">
        <v>4685</v>
      </c>
      <c r="D23" s="18">
        <v>55079</v>
      </c>
      <c r="E23" s="18">
        <f>D23-C23</f>
        <v>50394</v>
      </c>
      <c r="F23" s="18">
        <f>4450+124+140</f>
        <v>4714</v>
      </c>
      <c r="G23" s="18">
        <v>20703</v>
      </c>
      <c r="H23" s="18">
        <v>34376</v>
      </c>
      <c r="I23" s="18">
        <f>G23+H23-C23-E23</f>
        <v>0</v>
      </c>
      <c r="J23" s="18">
        <f>C23-G23</f>
        <v>-16018</v>
      </c>
      <c r="K23" s="33"/>
    </row>
    <row r="24" ht="20.05" customHeight="1">
      <c r="B24" s="32">
        <v>2020</v>
      </c>
      <c r="C24" s="17">
        <v>5357</v>
      </c>
      <c r="D24" s="18">
        <v>61834</v>
      </c>
      <c r="E24" s="18">
        <f>D24-C24</f>
        <v>56477</v>
      </c>
      <c r="F24" s="18">
        <f>4841+131+159</f>
        <v>5131</v>
      </c>
      <c r="G24" s="18">
        <v>29963</v>
      </c>
      <c r="H24" s="18">
        <v>31871</v>
      </c>
      <c r="I24" s="18">
        <f>G24+H24-C24-E24</f>
        <v>0</v>
      </c>
      <c r="J24" s="18">
        <f>C24-G24</f>
        <v>-24606</v>
      </c>
      <c r="K24" s="33"/>
    </row>
    <row r="25" ht="20.05" customHeight="1">
      <c r="B25" s="31"/>
      <c r="C25" s="17">
        <v>4538</v>
      </c>
      <c r="D25" s="18">
        <v>59775</v>
      </c>
      <c r="E25" s="18">
        <f>D25-C25</f>
        <v>55237</v>
      </c>
      <c r="F25" s="18">
        <f>5249+138+163</f>
        <v>5550</v>
      </c>
      <c r="G25" s="18">
        <v>28447</v>
      </c>
      <c r="H25" s="18">
        <v>31328</v>
      </c>
      <c r="I25" s="18">
        <f>G25+H25-C25-E25</f>
        <v>0</v>
      </c>
      <c r="J25" s="18">
        <f>C25-G25</f>
        <v>-23909</v>
      </c>
      <c r="K25" s="33"/>
    </row>
    <row r="26" ht="20.05" customHeight="1">
      <c r="B26" s="31"/>
      <c r="C26" s="17">
        <v>3717</v>
      </c>
      <c r="D26" s="18">
        <v>60085</v>
      </c>
      <c r="E26" s="18">
        <f>D26-C26</f>
        <v>56368</v>
      </c>
      <c r="F26" s="18">
        <f>147+5633+171</f>
        <v>5951</v>
      </c>
      <c r="G26" s="18">
        <v>28848</v>
      </c>
      <c r="H26" s="18">
        <v>31237</v>
      </c>
      <c r="I26" s="18">
        <f>G26+H26-C26-E26</f>
        <v>0</v>
      </c>
      <c r="J26" s="18">
        <f>C26-G26</f>
        <v>-25131</v>
      </c>
      <c r="K26" s="18"/>
    </row>
    <row r="27" ht="20.05" customHeight="1">
      <c r="B27" s="31"/>
      <c r="C27" s="17">
        <v>2993</v>
      </c>
      <c r="D27" s="18">
        <v>51865</v>
      </c>
      <c r="E27" s="18">
        <f>D27-C27</f>
        <v>48872</v>
      </c>
      <c r="F27" s="18">
        <f>6074+58+155+160+187</f>
        <v>6634</v>
      </c>
      <c r="G27" s="18">
        <v>28292</v>
      </c>
      <c r="H27" s="18">
        <v>23573</v>
      </c>
      <c r="I27" s="18">
        <f>G27+H27-C27-E27</f>
        <v>0</v>
      </c>
      <c r="J27" s="18">
        <f>C27-G27</f>
        <v>-25299</v>
      </c>
      <c r="K27" s="18"/>
    </row>
    <row r="28" ht="20.05" customHeight="1">
      <c r="B28" s="32">
        <v>2021</v>
      </c>
      <c r="C28" s="17">
        <v>5742</v>
      </c>
      <c r="D28" s="18">
        <v>64401</v>
      </c>
      <c r="E28" s="18">
        <f>D28-C28</f>
        <v>58659</v>
      </c>
      <c r="F28" s="18">
        <f>8887+1780+58+155+195</f>
        <v>11075</v>
      </c>
      <c r="G28" s="18">
        <v>41255</v>
      </c>
      <c r="H28" s="18">
        <v>23146</v>
      </c>
      <c r="I28" s="18">
        <f>G28+H28-C28-E28</f>
        <v>0</v>
      </c>
      <c r="J28" s="18">
        <f>C28-G28</f>
        <v>-35513</v>
      </c>
      <c r="K28" s="18"/>
    </row>
    <row r="29" ht="20.05" customHeight="1">
      <c r="B29" s="31"/>
      <c r="C29" s="17">
        <v>5622</v>
      </c>
      <c r="D29" s="18">
        <v>63876</v>
      </c>
      <c r="E29" s="18">
        <f>D29-C29</f>
        <v>58254</v>
      </c>
      <c r="F29" s="18">
        <f>720+155+6023+58+5173</f>
        <v>12129</v>
      </c>
      <c r="G29" s="18">
        <v>41227</v>
      </c>
      <c r="H29" s="18">
        <v>22649</v>
      </c>
      <c r="I29" s="18">
        <f>G29+H29-C29-E29</f>
        <v>0</v>
      </c>
      <c r="J29" s="18">
        <f>C29-G29</f>
        <v>-35605</v>
      </c>
      <c r="K29" s="18"/>
    </row>
    <row r="30" ht="20.05" customHeight="1">
      <c r="B30" s="31"/>
      <c r="C30" s="17">
        <v>4892</v>
      </c>
      <c r="D30" s="18">
        <v>63064</v>
      </c>
      <c r="E30" s="18">
        <f>D30-C30</f>
        <v>58172</v>
      </c>
      <c r="F30" s="18">
        <f>6323+58+155+738+5352</f>
        <v>12626</v>
      </c>
      <c r="G30" s="18">
        <f>40350</f>
        <v>40350</v>
      </c>
      <c r="H30" s="18">
        <v>22714</v>
      </c>
      <c r="I30" s="18">
        <f>G30+H30-C30-E30</f>
        <v>0</v>
      </c>
      <c r="J30" s="18">
        <f>C30-G30</f>
        <v>-35458</v>
      </c>
      <c r="K30" s="18"/>
    </row>
    <row r="31" ht="20.05" customHeight="1">
      <c r="B31" s="31"/>
      <c r="C31" s="17">
        <v>4888</v>
      </c>
      <c r="D31" s="18">
        <v>52081</v>
      </c>
      <c r="E31" s="18">
        <f>D31-C31</f>
        <v>47193</v>
      </c>
      <c r="F31" s="18">
        <f>210+7226+174+155+114</f>
        <v>7879</v>
      </c>
      <c r="G31" s="18">
        <v>29595</v>
      </c>
      <c r="H31" s="18">
        <v>22486</v>
      </c>
      <c r="I31" s="18">
        <f>G31+H31-C31-E31</f>
        <v>0</v>
      </c>
      <c r="J31" s="18">
        <f>C31-G31</f>
        <v>-24707</v>
      </c>
      <c r="K31" s="18"/>
    </row>
    <row r="32" ht="20.05" customHeight="1">
      <c r="B32" s="32">
        <v>2022</v>
      </c>
      <c r="C32" s="17">
        <v>4434</v>
      </c>
      <c r="D32" s="18">
        <v>51847</v>
      </c>
      <c r="E32" s="18">
        <f>D32-C32</f>
        <v>47413</v>
      </c>
      <c r="F32" s="18">
        <f>224+155+7437+182</f>
        <v>7998</v>
      </c>
      <c r="G32" s="18">
        <v>29787</v>
      </c>
      <c r="H32" s="18">
        <v>22060</v>
      </c>
      <c r="I32" s="18">
        <f>G32+H32-C32-E32</f>
        <v>0</v>
      </c>
      <c r="J32" s="18">
        <f>C32-G32</f>
        <v>-25353</v>
      </c>
      <c r="K32" s="18">
        <f>J32</f>
        <v>-25353</v>
      </c>
    </row>
    <row r="33" ht="20.05" customHeight="1">
      <c r="B33" s="31"/>
      <c r="C33" s="17"/>
      <c r="D33" s="18"/>
      <c r="E33" s="18"/>
      <c r="F33" s="18"/>
      <c r="G33" s="18"/>
      <c r="H33" s="18"/>
      <c r="I33" s="18"/>
      <c r="J33" s="18"/>
      <c r="K33" s="18">
        <f>'Model'!F20-'Model'!F28-'Model'!F29</f>
        <v>-24588.9544357204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3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7" customWidth="1"/>
    <col min="2" max="5" width="11.0547" style="37" customWidth="1"/>
    <col min="6" max="16384" width="16.3516" style="37" customWidth="1"/>
  </cols>
  <sheetData>
    <row r="1" ht="40" customHeight="1"/>
    <row r="2" ht="27.65" customHeight="1">
      <c r="B2" t="s" s="2">
        <v>58</v>
      </c>
      <c r="C2" s="2"/>
      <c r="D2" s="2"/>
      <c r="E2" s="2"/>
    </row>
    <row r="3" ht="32.25" customHeight="1">
      <c r="B3" s="38"/>
      <c r="C3" t="s" s="5">
        <v>59</v>
      </c>
      <c r="D3" t="s" s="5">
        <v>40</v>
      </c>
      <c r="E3" t="s" s="5">
        <v>60</v>
      </c>
    </row>
    <row r="4" ht="20.25" customHeight="1">
      <c r="B4" s="26">
        <v>2014</v>
      </c>
      <c r="C4" s="39">
        <v>861</v>
      </c>
      <c r="D4" s="8"/>
      <c r="E4" s="8"/>
    </row>
    <row r="5" ht="20.05" customHeight="1">
      <c r="B5" s="31"/>
      <c r="C5" s="21">
        <v>762</v>
      </c>
      <c r="D5" s="34"/>
      <c r="E5" s="34"/>
    </row>
    <row r="6" ht="20.05" customHeight="1">
      <c r="B6" s="31"/>
      <c r="C6" s="21">
        <v>746</v>
      </c>
      <c r="D6" s="34"/>
      <c r="E6" s="34"/>
    </row>
    <row r="7" ht="20.05" customHeight="1">
      <c r="B7" s="31"/>
      <c r="C7" s="21">
        <v>809</v>
      </c>
      <c r="D7" s="34"/>
      <c r="E7" s="34"/>
    </row>
    <row r="8" ht="20.05" customHeight="1">
      <c r="B8" s="32">
        <v>2015</v>
      </c>
      <c r="C8" s="17">
        <v>1071</v>
      </c>
      <c r="D8" s="34"/>
      <c r="E8" s="34"/>
    </row>
    <row r="9" ht="20.05" customHeight="1">
      <c r="B9" s="31"/>
      <c r="C9" s="21">
        <v>936</v>
      </c>
      <c r="D9" s="34"/>
      <c r="E9" s="34"/>
    </row>
    <row r="10" ht="20.05" customHeight="1">
      <c r="B10" s="31"/>
      <c r="C10" s="21">
        <v>897</v>
      </c>
      <c r="D10" s="34"/>
      <c r="E10" s="34"/>
    </row>
    <row r="11" ht="20.05" customHeight="1">
      <c r="B11" s="31"/>
      <c r="C11" s="21">
        <v>821</v>
      </c>
      <c r="D11" s="34"/>
      <c r="E11" s="34"/>
    </row>
    <row r="12" ht="20.05" customHeight="1">
      <c r="B12" s="32">
        <v>2016</v>
      </c>
      <c r="C12" s="21">
        <v>829</v>
      </c>
      <c r="D12" s="34"/>
      <c r="E12" s="34"/>
    </row>
    <row r="13" ht="20.05" customHeight="1">
      <c r="B13" s="31"/>
      <c r="C13" s="21">
        <v>909</v>
      </c>
      <c r="D13" s="34"/>
      <c r="E13" s="34"/>
    </row>
    <row r="14" ht="20.05" customHeight="1">
      <c r="B14" s="31"/>
      <c r="C14" s="21">
        <v>786</v>
      </c>
      <c r="D14" s="34"/>
      <c r="E14" s="34"/>
    </row>
    <row r="15" ht="20.05" customHeight="1">
      <c r="B15" s="31"/>
      <c r="C15" s="21">
        <v>571</v>
      </c>
      <c r="D15" s="34"/>
      <c r="E15" s="34"/>
    </row>
    <row r="16" ht="20.05" customHeight="1">
      <c r="B16" s="32">
        <v>2017</v>
      </c>
      <c r="C16" s="21">
        <v>575</v>
      </c>
      <c r="D16" s="34"/>
      <c r="E16" s="34"/>
    </row>
    <row r="17" ht="20.05" customHeight="1">
      <c r="B17" s="31"/>
      <c r="C17" s="21">
        <v>524</v>
      </c>
      <c r="D17" s="34"/>
      <c r="E17" s="34"/>
    </row>
    <row r="18" ht="20.05" customHeight="1">
      <c r="B18" s="31"/>
      <c r="C18" s="21">
        <v>575</v>
      </c>
      <c r="D18" s="34"/>
      <c r="E18" s="34"/>
    </row>
    <row r="19" ht="20.05" customHeight="1">
      <c r="B19" s="31"/>
      <c r="C19" s="21">
        <v>387</v>
      </c>
      <c r="D19" s="34"/>
      <c r="E19" s="34"/>
    </row>
    <row r="20" ht="20.05" customHeight="1">
      <c r="B20" s="32">
        <v>2018</v>
      </c>
      <c r="C20" s="21">
        <v>381</v>
      </c>
      <c r="D20" s="34"/>
      <c r="E20" s="34"/>
    </row>
    <row r="21" ht="20.05" customHeight="1">
      <c r="B21" s="31"/>
      <c r="C21" s="21">
        <v>270</v>
      </c>
      <c r="D21" s="34"/>
      <c r="E21" s="34"/>
    </row>
    <row r="22" ht="20.05" customHeight="1">
      <c r="B22" s="31"/>
      <c r="C22" s="21">
        <v>273</v>
      </c>
      <c r="D22" s="34"/>
      <c r="E22" s="34"/>
    </row>
    <row r="23" ht="20.05" customHeight="1">
      <c r="B23" s="31"/>
      <c r="C23" s="21">
        <v>202</v>
      </c>
      <c r="D23" s="34"/>
      <c r="E23" s="34"/>
    </row>
    <row r="24" ht="20.05" customHeight="1">
      <c r="B24" s="32">
        <v>2019</v>
      </c>
      <c r="C24" s="21">
        <v>229</v>
      </c>
      <c r="D24" s="34"/>
      <c r="E24" s="34"/>
    </row>
    <row r="25" ht="20.05" customHeight="1">
      <c r="B25" s="31"/>
      <c r="C25" s="21">
        <v>264</v>
      </c>
      <c r="D25" s="34"/>
      <c r="E25" s="34"/>
    </row>
    <row r="26" ht="20.05" customHeight="1">
      <c r="B26" s="31"/>
      <c r="C26" s="21">
        <v>236</v>
      </c>
      <c r="D26" s="34"/>
      <c r="E26" s="34"/>
    </row>
    <row r="27" ht="20.05" customHeight="1">
      <c r="B27" s="31"/>
      <c r="C27" s="21">
        <v>242</v>
      </c>
      <c r="D27" s="34"/>
      <c r="E27" s="34"/>
    </row>
    <row r="28" ht="20.05" customHeight="1">
      <c r="B28" s="32">
        <v>2020</v>
      </c>
      <c r="C28" s="40">
        <v>133</v>
      </c>
      <c r="D28" s="34"/>
      <c r="E28" s="34"/>
    </row>
    <row r="29" ht="20.05" customHeight="1">
      <c r="B29" s="31"/>
      <c r="C29" s="40">
        <v>171</v>
      </c>
      <c r="D29" s="34"/>
      <c r="E29" s="34"/>
    </row>
    <row r="30" ht="20.05" customHeight="1">
      <c r="B30" s="31"/>
      <c r="C30" s="40">
        <v>119</v>
      </c>
      <c r="D30" s="34"/>
      <c r="E30" s="34"/>
    </row>
    <row r="31" ht="20.05" customHeight="1">
      <c r="B31" s="31"/>
      <c r="C31" s="40">
        <v>214</v>
      </c>
      <c r="D31" s="34"/>
      <c r="E31" s="34"/>
    </row>
    <row r="32" ht="20.05" customHeight="1">
      <c r="B32" s="32">
        <v>2021</v>
      </c>
      <c r="C32" s="40">
        <v>193</v>
      </c>
      <c r="D32" s="34"/>
      <c r="E32" s="34"/>
    </row>
    <row r="33" ht="20.05" customHeight="1">
      <c r="B33" s="31"/>
      <c r="C33" s="40">
        <v>154</v>
      </c>
      <c r="D33" s="34"/>
      <c r="E33" s="34"/>
    </row>
    <row r="34" ht="20.05" customHeight="1">
      <c r="B34" s="31"/>
      <c r="C34" s="40">
        <v>153</v>
      </c>
      <c r="D34" s="34"/>
      <c r="E34" s="34"/>
    </row>
    <row r="35" ht="20.05" customHeight="1">
      <c r="B35" s="31"/>
      <c r="C35" s="40">
        <v>141</v>
      </c>
      <c r="D35" s="34"/>
      <c r="E35" s="34"/>
    </row>
    <row r="36" ht="20.05" customHeight="1">
      <c r="B36" s="32">
        <v>2022</v>
      </c>
      <c r="C36" s="40">
        <v>131</v>
      </c>
      <c r="D36" s="34"/>
      <c r="E36" s="34"/>
    </row>
    <row r="37" ht="20.05" customHeight="1">
      <c r="B37" s="31"/>
      <c r="C37" s="40">
        <v>124</v>
      </c>
      <c r="D37" s="22">
        <f>C37</f>
        <v>124</v>
      </c>
      <c r="E37" s="22">
        <v>78.09735824872919</v>
      </c>
    </row>
    <row r="38" ht="20.05" customHeight="1">
      <c r="B38" s="31"/>
      <c r="C38" s="40"/>
      <c r="D38" s="22">
        <f>'Model'!F45</f>
        <v>139.626035044306</v>
      </c>
      <c r="E38" s="34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3:U4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4.4609" style="41" customWidth="1"/>
    <col min="2" max="9" width="12.3984" style="41" customWidth="1"/>
    <col min="10" max="21" width="11.375" style="42" customWidth="1"/>
    <col min="22" max="16384" width="16.3516" style="42" customWidth="1"/>
  </cols>
  <sheetData>
    <row r="1" ht="188.15" customHeight="1"/>
    <row r="2" ht="27.65" customHeight="1">
      <c r="B2" t="s" s="2">
        <v>31</v>
      </c>
      <c r="C2" s="2"/>
      <c r="D2" s="2"/>
      <c r="E2" s="2"/>
      <c r="F2" s="2"/>
      <c r="G2" s="2"/>
      <c r="H2" s="2"/>
      <c r="I2" s="2"/>
    </row>
    <row r="3" ht="20.25" customHeight="1">
      <c r="B3" t="s" s="5">
        <v>1</v>
      </c>
      <c r="C3" t="s" s="5">
        <v>12</v>
      </c>
      <c r="D3" t="s" s="5">
        <v>27</v>
      </c>
      <c r="E3" t="s" s="5">
        <v>61</v>
      </c>
      <c r="F3" t="s" s="5">
        <v>12</v>
      </c>
      <c r="G3" t="s" s="5">
        <v>27</v>
      </c>
      <c r="H3" t="s" s="5">
        <v>61</v>
      </c>
      <c r="I3" s="4"/>
    </row>
    <row r="4" ht="20.25" customHeight="1">
      <c r="B4" s="26">
        <v>2005</v>
      </c>
      <c r="C4" s="27">
        <v>524</v>
      </c>
      <c r="D4" s="29">
        <v>889</v>
      </c>
      <c r="E4" s="29">
        <f>C4+D4</f>
        <v>1413</v>
      </c>
      <c r="F4" s="29">
        <f>C4</f>
        <v>524</v>
      </c>
      <c r="G4" s="29">
        <f>D4</f>
        <v>889</v>
      </c>
      <c r="H4" s="29">
        <f>E4</f>
        <v>1413</v>
      </c>
      <c r="I4" s="8"/>
    </row>
    <row r="5" ht="20.05" customHeight="1">
      <c r="B5" s="32">
        <f>1+$B4</f>
        <v>2006</v>
      </c>
      <c r="C5" s="17">
        <v>1637</v>
      </c>
      <c r="D5" s="18">
        <v>-42</v>
      </c>
      <c r="E5" s="18">
        <f>C5+D5</f>
        <v>1595</v>
      </c>
      <c r="F5" s="18">
        <f>C5+F4</f>
        <v>2161</v>
      </c>
      <c r="G5" s="18">
        <f>D5+G4</f>
        <v>847</v>
      </c>
      <c r="H5" s="18">
        <f>E5+H4</f>
        <v>3008</v>
      </c>
      <c r="I5" s="34"/>
    </row>
    <row r="6" ht="20.05" customHeight="1">
      <c r="B6" s="32">
        <f>1+$B5</f>
        <v>2007</v>
      </c>
      <c r="C6" s="17">
        <v>303</v>
      </c>
      <c r="D6" s="18">
        <v>887</v>
      </c>
      <c r="E6" s="18">
        <f>C6+D6</f>
        <v>1190</v>
      </c>
      <c r="F6" s="18">
        <f>C6+F5</f>
        <v>2464</v>
      </c>
      <c r="G6" s="18">
        <f>D6+G5</f>
        <v>1734</v>
      </c>
      <c r="H6" s="18">
        <f>E6+H5</f>
        <v>4198</v>
      </c>
      <c r="I6" s="34"/>
    </row>
    <row r="7" ht="20.05" customHeight="1">
      <c r="B7" s="32">
        <f>1+$B6</f>
        <v>2008</v>
      </c>
      <c r="C7" s="17">
        <v>-60</v>
      </c>
      <c r="D7" s="18">
        <v>0</v>
      </c>
      <c r="E7" s="18">
        <f>C7+D7</f>
        <v>-60</v>
      </c>
      <c r="F7" s="18">
        <f>C7+F6</f>
        <v>2404</v>
      </c>
      <c r="G7" s="18">
        <f>D7+G6</f>
        <v>1734</v>
      </c>
      <c r="H7" s="18">
        <f>E7+H6</f>
        <v>4138</v>
      </c>
      <c r="I7" s="34"/>
    </row>
    <row r="8" ht="20.05" customHeight="1">
      <c r="B8" s="32">
        <f>1+$B7</f>
        <v>2009</v>
      </c>
      <c r="C8" s="17">
        <v>61</v>
      </c>
      <c r="D8" s="18">
        <v>0</v>
      </c>
      <c r="E8" s="18">
        <f>C8+D8</f>
        <v>61</v>
      </c>
      <c r="F8" s="18">
        <f>C8+F7</f>
        <v>2465</v>
      </c>
      <c r="G8" s="18">
        <f>D8+G7</f>
        <v>1734</v>
      </c>
      <c r="H8" s="18">
        <f>E8+H7</f>
        <v>4199</v>
      </c>
      <c r="I8" s="34"/>
    </row>
    <row r="9" ht="20.05" customHeight="1">
      <c r="B9" s="32">
        <f>1+$B8</f>
        <v>2010</v>
      </c>
      <c r="C9" s="17">
        <v>633</v>
      </c>
      <c r="D9" s="18">
        <v>2323</v>
      </c>
      <c r="E9" s="18">
        <f>C9+D9</f>
        <v>2956</v>
      </c>
      <c r="F9" s="18">
        <f>C9+F8</f>
        <v>3098</v>
      </c>
      <c r="G9" s="18">
        <f>D9+G8</f>
        <v>4057</v>
      </c>
      <c r="H9" s="18">
        <f>E9+H8</f>
        <v>7155</v>
      </c>
      <c r="I9" s="34"/>
    </row>
    <row r="10" ht="20.05" customHeight="1">
      <c r="B10" s="32">
        <f>1+$B9</f>
        <v>2011</v>
      </c>
      <c r="C10" s="17">
        <v>297</v>
      </c>
      <c r="D10" s="18">
        <v>794</v>
      </c>
      <c r="E10" s="18">
        <f>C10+D10</f>
        <v>1091</v>
      </c>
      <c r="F10" s="18">
        <f>C10+F9</f>
        <v>3395</v>
      </c>
      <c r="G10" s="18">
        <f>D10+G9</f>
        <v>4851</v>
      </c>
      <c r="H10" s="18">
        <f>E10+H9</f>
        <v>8246</v>
      </c>
      <c r="I10" s="34"/>
    </row>
    <row r="11" ht="20.05" customHeight="1">
      <c r="B11" s="32">
        <f>1+$B10</f>
        <v>2012</v>
      </c>
      <c r="C11" s="17">
        <v>2092</v>
      </c>
      <c r="D11" s="18">
        <v>-341</v>
      </c>
      <c r="E11" s="18">
        <f>C11+D11</f>
        <v>1751</v>
      </c>
      <c r="F11" s="18">
        <f>C11+F10</f>
        <v>5487</v>
      </c>
      <c r="G11" s="18">
        <f>D11+G10</f>
        <v>4510</v>
      </c>
      <c r="H11" s="18">
        <f>E11+H10</f>
        <v>9997</v>
      </c>
      <c r="I11" s="34"/>
    </row>
    <row r="12" ht="20.05" customHeight="1">
      <c r="B12" s="32">
        <f>1+$B11</f>
        <v>2013</v>
      </c>
      <c r="C12" s="17">
        <v>125</v>
      </c>
      <c r="D12" s="18">
        <v>1038</v>
      </c>
      <c r="E12" s="18">
        <f>C12+D12</f>
        <v>1163</v>
      </c>
      <c r="F12" s="18">
        <f>C12+F11</f>
        <v>5612</v>
      </c>
      <c r="G12" s="18">
        <f>D12+G11</f>
        <v>5548</v>
      </c>
      <c r="H12" s="18">
        <f>E12+H11</f>
        <v>11160</v>
      </c>
      <c r="I12" s="34"/>
    </row>
    <row r="13" ht="20.05" customHeight="1">
      <c r="B13" s="32">
        <f>1+$B12</f>
        <v>2014</v>
      </c>
      <c r="C13" s="17">
        <v>1805</v>
      </c>
      <c r="D13" s="18">
        <v>-349</v>
      </c>
      <c r="E13" s="18">
        <f>C13+D13</f>
        <v>1456</v>
      </c>
      <c r="F13" s="18">
        <f>C13+F12</f>
        <v>7417</v>
      </c>
      <c r="G13" s="18">
        <f>D13+G12</f>
        <v>5199</v>
      </c>
      <c r="H13" s="18">
        <f>E13+H12</f>
        <v>12616</v>
      </c>
      <c r="I13" s="34"/>
    </row>
    <row r="14" ht="20.05" customHeight="1">
      <c r="B14" s="32">
        <f>1+$B13</f>
        <v>2015</v>
      </c>
      <c r="C14" s="17">
        <v>1266</v>
      </c>
      <c r="D14" s="18">
        <v>-518</v>
      </c>
      <c r="E14" s="18">
        <f>C14+D14</f>
        <v>748</v>
      </c>
      <c r="F14" s="18">
        <f>C14+F13</f>
        <v>8683</v>
      </c>
      <c r="G14" s="18">
        <f>D14+G13</f>
        <v>4681</v>
      </c>
      <c r="H14" s="18">
        <f>E14+H13</f>
        <v>13364</v>
      </c>
      <c r="I14" s="34"/>
    </row>
    <row r="15" ht="20.05" customHeight="1">
      <c r="B15" s="32">
        <f>1+$B14</f>
        <v>2016</v>
      </c>
      <c r="C15" s="17">
        <v>1199</v>
      </c>
      <c r="D15" s="18">
        <v>407</v>
      </c>
      <c r="E15" s="18">
        <f>C15+D15</f>
        <v>1606</v>
      </c>
      <c r="F15" s="18">
        <f>C15+F14</f>
        <v>9882</v>
      </c>
      <c r="G15" s="18">
        <f>D15+G14</f>
        <v>5088</v>
      </c>
      <c r="H15" s="18">
        <f>E15+H14</f>
        <v>14970</v>
      </c>
      <c r="I15" s="34"/>
    </row>
    <row r="16" ht="20.05" customHeight="1">
      <c r="B16" s="32">
        <f>1+$B15</f>
        <v>2017</v>
      </c>
      <c r="C16" s="17">
        <v>-52</v>
      </c>
      <c r="D16" s="18">
        <v>5938</v>
      </c>
      <c r="E16" s="18">
        <f>C16+D16</f>
        <v>5886</v>
      </c>
      <c r="F16" s="18">
        <f>C16+F15</f>
        <v>9830</v>
      </c>
      <c r="G16" s="18">
        <f>D16+G15</f>
        <v>11026</v>
      </c>
      <c r="H16" s="18">
        <f>E16+H15</f>
        <v>20856</v>
      </c>
      <c r="I16" s="34"/>
    </row>
    <row r="17" ht="20.05" customHeight="1">
      <c r="B17" s="32">
        <f>1+$B16</f>
        <v>2018</v>
      </c>
      <c r="C17" s="17">
        <v>147</v>
      </c>
      <c r="D17" s="18">
        <v>-76</v>
      </c>
      <c r="E17" s="18">
        <f>C17+D17</f>
        <v>71</v>
      </c>
      <c r="F17" s="18">
        <f>C17+F16</f>
        <v>9977</v>
      </c>
      <c r="G17" s="18">
        <f>D17+G16</f>
        <v>10950</v>
      </c>
      <c r="H17" s="18">
        <f>E17+H16</f>
        <v>20927</v>
      </c>
      <c r="I17" s="34"/>
    </row>
    <row r="18" ht="20.05" customHeight="1">
      <c r="B18" s="32">
        <f>1+$B17</f>
        <v>2019</v>
      </c>
      <c r="C18" s="17">
        <v>-2181</v>
      </c>
      <c r="D18" s="18">
        <v>11904</v>
      </c>
      <c r="E18" s="18">
        <f>C18+D18</f>
        <v>9723</v>
      </c>
      <c r="F18" s="18">
        <f>C18+F17</f>
        <v>7796</v>
      </c>
      <c r="G18" s="18">
        <f>D18+G17</f>
        <v>22854</v>
      </c>
      <c r="H18" s="18">
        <f>E18+H17</f>
        <v>30650</v>
      </c>
      <c r="I18" s="34"/>
    </row>
    <row r="19" ht="20.05" customHeight="1">
      <c r="B19" s="32">
        <f>1+$B18</f>
        <v>2020</v>
      </c>
      <c r="C19" s="17">
        <v>1421</v>
      </c>
      <c r="D19" s="18">
        <v>0</v>
      </c>
      <c r="E19" s="18">
        <f>C19+D19</f>
        <v>1421</v>
      </c>
      <c r="F19" s="18">
        <f>C19+F18</f>
        <v>9217</v>
      </c>
      <c r="G19" s="18">
        <f>D19+G18</f>
        <v>22854</v>
      </c>
      <c r="H19" s="18">
        <f>E19+H18</f>
        <v>32071</v>
      </c>
      <c r="I19" s="34"/>
    </row>
    <row r="20" ht="20.05" customHeight="1">
      <c r="B20" s="32">
        <f>1+$B19</f>
        <v>2021</v>
      </c>
      <c r="C20" s="17">
        <f>SUM('Cashflow'!G28:G31)</f>
        <v>3249.5</v>
      </c>
      <c r="D20" s="18">
        <f>SUM('Cashflow'!H28:H31)</f>
        <v>-252.6</v>
      </c>
      <c r="E20" s="18">
        <f>C20+D20</f>
        <v>2996.9</v>
      </c>
      <c r="F20" s="18">
        <f>C20+F19</f>
        <v>12466.5</v>
      </c>
      <c r="G20" s="18">
        <f>D20+G19</f>
        <v>22601.4</v>
      </c>
      <c r="H20" s="18">
        <f>E20+H19</f>
        <v>35067.9</v>
      </c>
      <c r="I20" s="34"/>
    </row>
    <row r="22" ht="27.65" customHeight="1">
      <c r="J22" t="s" s="2">
        <v>62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ht="20.25" customHeight="1"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ht="20.25" customHeight="1">
      <c r="J24" s="43"/>
      <c r="K24" t="s" s="44">
        <v>63</v>
      </c>
      <c r="L24" s="45">
        <v>8782821195776</v>
      </c>
      <c r="M24" s="8"/>
      <c r="N24" s="8"/>
      <c r="O24" s="8"/>
      <c r="P24" s="8"/>
      <c r="Q24" s="8"/>
      <c r="R24" s="8"/>
      <c r="S24" s="8"/>
      <c r="T24" s="8"/>
      <c r="U24" s="8"/>
    </row>
    <row r="25" ht="32.05" customHeight="1">
      <c r="J25" s="31"/>
      <c r="K25" t="s" s="46">
        <v>59</v>
      </c>
      <c r="L25" t="s" s="47">
        <v>64</v>
      </c>
      <c r="M25" s="18">
        <f>L40</f>
        <v>35067.9</v>
      </c>
      <c r="N25" t="s" s="47">
        <f>M40</f>
        <v>65</v>
      </c>
      <c r="O25" t="s" s="47">
        <f>N40</f>
        <v>66</v>
      </c>
      <c r="P25" s="34"/>
      <c r="Q25" s="34"/>
      <c r="R25" s="34"/>
      <c r="S25" s="34"/>
      <c r="T25" s="34"/>
      <c r="U25" s="34"/>
    </row>
    <row r="26" ht="20.05" customHeight="1">
      <c r="J26" s="31"/>
      <c r="K26" s="48">
        <v>44663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ht="20.05" customHeight="1">
      <c r="J27" s="31"/>
      <c r="K27" t="s" s="46">
        <v>67</v>
      </c>
      <c r="L27" s="22">
        <f>$B4</f>
        <v>2005</v>
      </c>
      <c r="M27" s="34"/>
      <c r="N27" s="34"/>
      <c r="O27" s="34"/>
      <c r="P27" s="34"/>
      <c r="Q27" s="34"/>
      <c r="R27" s="34"/>
      <c r="S27" s="34"/>
      <c r="T27" s="34"/>
      <c r="U27" s="34"/>
    </row>
    <row r="28" ht="32.05" customHeight="1">
      <c r="J28" s="31"/>
      <c r="K28" t="s" s="46">
        <v>68</v>
      </c>
      <c r="L28" s="22">
        <f>(2022-L27)*4</f>
        <v>68</v>
      </c>
      <c r="M28" s="34"/>
      <c r="N28" s="34"/>
      <c r="O28" s="34"/>
      <c r="P28" s="34"/>
      <c r="Q28" s="34"/>
      <c r="R28" s="34"/>
      <c r="S28" s="34"/>
      <c r="T28" s="34"/>
      <c r="U28" s="34"/>
    </row>
    <row r="29" ht="32.05" customHeight="1">
      <c r="J29" s="31"/>
      <c r="K29" t="s" s="46">
        <v>69</v>
      </c>
      <c r="L29" s="18">
        <f>(L24/1000000000)</f>
        <v>8782.821195776</v>
      </c>
      <c r="M29" s="34"/>
      <c r="N29" s="34"/>
      <c r="O29" s="34"/>
      <c r="P29" s="34"/>
      <c r="Q29" s="34"/>
      <c r="R29" s="34"/>
      <c r="S29" s="34"/>
      <c r="T29" s="34"/>
      <c r="U29" s="34"/>
    </row>
    <row r="30" ht="20.05" customHeight="1">
      <c r="J30" s="31"/>
      <c r="K30" t="s" s="46">
        <v>12</v>
      </c>
      <c r="L30" s="18">
        <f>Q34</f>
        <v>12466.5</v>
      </c>
      <c r="M30" t="s" s="47">
        <f>Q31</f>
        <v>65</v>
      </c>
      <c r="N30" t="s" s="47">
        <f>IF(L30&gt;0,"raised","paid")</f>
        <v>66</v>
      </c>
      <c r="O30" s="34"/>
      <c r="P30" s="34"/>
      <c r="Q30" s="34"/>
      <c r="R30" s="34"/>
      <c r="S30" s="34"/>
      <c r="T30" s="34"/>
      <c r="U30" s="34"/>
    </row>
    <row r="31" ht="32.05" customHeight="1">
      <c r="J31" s="31"/>
      <c r="K31" t="s" s="46">
        <f>K25</f>
        <v>59</v>
      </c>
      <c r="L31" t="s" s="47">
        <v>70</v>
      </c>
      <c r="M31" t="s" s="47">
        <f>IF(P31&gt;0,"raised","paid")</f>
        <v>66</v>
      </c>
      <c r="N31" t="s" s="47">
        <v>71</v>
      </c>
      <c r="O31" t="s" s="47">
        <v>72</v>
      </c>
      <c r="P31" s="18">
        <f>AVERAGE(C4:C20)</f>
        <v>733.323529411765</v>
      </c>
      <c r="Q31" t="s" s="47">
        <v>65</v>
      </c>
      <c r="R31" t="s" s="47">
        <v>73</v>
      </c>
      <c r="S31" s="16">
        <f>P31/L29</f>
        <v>0.0834952133335526</v>
      </c>
      <c r="T31" t="s" s="47">
        <v>74</v>
      </c>
      <c r="U31" s="34"/>
    </row>
    <row r="32" ht="32.05" customHeight="1">
      <c r="J32" s="31"/>
      <c r="K32" t="s" s="46">
        <v>75</v>
      </c>
      <c r="L32" t="s" s="47">
        <f>N31</f>
        <v>71</v>
      </c>
      <c r="M32" t="s" s="47">
        <v>76</v>
      </c>
      <c r="N32" t="s" s="47">
        <f>IF(P32&gt;0,"raised","paid")</f>
        <v>66</v>
      </c>
      <c r="O32" t="s" s="47">
        <v>72</v>
      </c>
      <c r="P32" s="18">
        <f>AVERAGE(C16:C20)</f>
        <v>516.9</v>
      </c>
      <c r="Q32" t="s" s="47">
        <f>Q31</f>
        <v>65</v>
      </c>
      <c r="R32" t="s" s="47">
        <v>73</v>
      </c>
      <c r="S32" s="16">
        <f>P32/L29</f>
        <v>0.0588535265010971</v>
      </c>
      <c r="T32" t="s" s="47">
        <v>74</v>
      </c>
      <c r="U32" s="34"/>
    </row>
    <row r="33" ht="44.05" customHeight="1">
      <c r="J33" s="31"/>
      <c r="K33" t="s" s="46">
        <v>77</v>
      </c>
      <c r="L33" t="s" s="47">
        <v>78</v>
      </c>
      <c r="M33" s="18">
        <f>MAX(F4:F20)</f>
        <v>12466.5</v>
      </c>
      <c r="N33" t="s" s="47">
        <f>Q32</f>
        <v>65</v>
      </c>
      <c r="O33" t="s" s="47">
        <v>79</v>
      </c>
      <c r="P33" s="22">
        <f>$B20</f>
        <v>2021</v>
      </c>
      <c r="Q33" s="34"/>
      <c r="R33" s="34"/>
      <c r="S33" s="34"/>
      <c r="T33" s="34"/>
      <c r="U33" s="34"/>
    </row>
    <row r="34" ht="32.05" customHeight="1">
      <c r="J34" s="31"/>
      <c r="K34" t="s" s="46">
        <v>80</v>
      </c>
      <c r="L34" t="s" s="47">
        <f>L32</f>
        <v>71</v>
      </c>
      <c r="M34" t="s" s="47">
        <v>81</v>
      </c>
      <c r="N34" t="s" s="47">
        <v>82</v>
      </c>
      <c r="O34" t="s" s="47">
        <f>IF(Q34&lt;M33,"down","up")</f>
        <v>83</v>
      </c>
      <c r="P34" t="s" s="47">
        <v>84</v>
      </c>
      <c r="Q34" s="18">
        <f>F20</f>
        <v>12466.5</v>
      </c>
      <c r="R34" t="s" s="47">
        <f>Q32</f>
        <v>65</v>
      </c>
      <c r="S34" s="34"/>
      <c r="T34" s="34"/>
      <c r="U34" s="34"/>
    </row>
    <row r="35" ht="20.05" customHeight="1">
      <c r="J35" s="31"/>
      <c r="K35" t="s" s="46">
        <v>27</v>
      </c>
      <c r="L35" s="18">
        <f>Q39</f>
        <v>22601.4</v>
      </c>
      <c r="M35" t="s" s="47">
        <f>R34</f>
        <v>65</v>
      </c>
      <c r="N35" t="s" s="47">
        <f>IF(L35&gt;0,"raised","paid")</f>
        <v>66</v>
      </c>
      <c r="O35" s="34"/>
      <c r="P35" s="34"/>
      <c r="Q35" s="34"/>
      <c r="R35" s="34"/>
      <c r="S35" s="34"/>
      <c r="T35" s="34"/>
      <c r="U35" s="34"/>
    </row>
    <row r="36" ht="32.05" customHeight="1">
      <c r="J36" s="31"/>
      <c r="K36" t="s" s="46">
        <f>K31</f>
        <v>59</v>
      </c>
      <c r="L36" t="s" s="47">
        <v>70</v>
      </c>
      <c r="M36" t="s" s="47">
        <f>IF(P36&gt;0,"raised","paid")</f>
        <v>66</v>
      </c>
      <c r="N36" t="s" s="47">
        <v>85</v>
      </c>
      <c r="O36" t="s" s="47">
        <f>O31</f>
        <v>72</v>
      </c>
      <c r="P36" s="18">
        <f>AVERAGE(D4:D20)</f>
        <v>1329.494117647060</v>
      </c>
      <c r="Q36" t="s" s="47">
        <f>Q31</f>
        <v>65</v>
      </c>
      <c r="R36" t="s" s="47">
        <f>R31</f>
        <v>73</v>
      </c>
      <c r="S36" s="16">
        <f>P36/L29</f>
        <v>0.151374380510725</v>
      </c>
      <c r="T36" t="s" s="47">
        <f>T31</f>
        <v>74</v>
      </c>
      <c r="U36" s="34"/>
    </row>
    <row r="37" ht="32.05" customHeight="1">
      <c r="J37" s="31"/>
      <c r="K37" t="s" s="46">
        <v>75</v>
      </c>
      <c r="L37" t="s" s="47">
        <f>N36</f>
        <v>85</v>
      </c>
      <c r="M37" t="s" s="47">
        <v>86</v>
      </c>
      <c r="N37" t="s" s="47">
        <f>IF(P37&gt;0,"raised","paid")</f>
        <v>66</v>
      </c>
      <c r="O37" t="s" s="47">
        <v>72</v>
      </c>
      <c r="P37" s="18">
        <f>AVERAGE(D16:D20)</f>
        <v>3502.68</v>
      </c>
      <c r="Q37" t="s" s="47">
        <f>Q36</f>
        <v>65</v>
      </c>
      <c r="R37" t="s" s="47">
        <v>73</v>
      </c>
      <c r="S37" s="16">
        <f>P37/L29</f>
        <v>0.398810350560771</v>
      </c>
      <c r="T37" t="s" s="47">
        <f>T32</f>
        <v>74</v>
      </c>
      <c r="U37" s="34"/>
    </row>
    <row r="38" ht="44.05" customHeight="1">
      <c r="J38" s="31"/>
      <c r="K38" t="s" s="46">
        <v>87</v>
      </c>
      <c r="L38" t="s" s="47">
        <v>78</v>
      </c>
      <c r="M38" s="18">
        <f>MAX(G4:G20)</f>
        <v>22854</v>
      </c>
      <c r="N38" t="s" s="47">
        <f>Q37</f>
        <v>65</v>
      </c>
      <c r="O38" t="s" s="47">
        <v>79</v>
      </c>
      <c r="P38" s="22">
        <f>$B18</f>
        <v>2019</v>
      </c>
      <c r="Q38" s="34"/>
      <c r="R38" s="34"/>
      <c r="S38" s="34"/>
      <c r="T38" s="34"/>
      <c r="U38" s="34"/>
    </row>
    <row r="39" ht="32.05" customHeight="1">
      <c r="J39" s="31"/>
      <c r="K39" t="s" s="46">
        <v>80</v>
      </c>
      <c r="L39" t="s" s="47">
        <f>L37</f>
        <v>85</v>
      </c>
      <c r="M39" t="s" s="47">
        <v>81</v>
      </c>
      <c r="N39" t="s" s="47">
        <v>88</v>
      </c>
      <c r="O39" t="s" s="47">
        <f>IF(Q39&lt;M38,"down","up")</f>
        <v>89</v>
      </c>
      <c r="P39" t="s" s="47">
        <v>84</v>
      </c>
      <c r="Q39" s="18">
        <f>G20</f>
        <v>22601.4</v>
      </c>
      <c r="R39" t="s" s="47">
        <f>Q37</f>
        <v>65</v>
      </c>
      <c r="S39" s="34"/>
      <c r="T39" s="34"/>
      <c r="U39" s="34"/>
    </row>
    <row r="40" ht="20.05" customHeight="1">
      <c r="J40" s="31"/>
      <c r="K40" t="s" s="46">
        <v>90</v>
      </c>
      <c r="L40" s="18">
        <f>Q44</f>
        <v>35067.9</v>
      </c>
      <c r="M40" t="s" s="47">
        <f>R39</f>
        <v>65</v>
      </c>
      <c r="N40" t="s" s="47">
        <f>IF(L40&gt;0,"raised","paid")</f>
        <v>66</v>
      </c>
      <c r="O40" s="34"/>
      <c r="P40" s="34"/>
      <c r="Q40" s="34"/>
      <c r="R40" s="34"/>
      <c r="S40" s="34"/>
      <c r="T40" s="34"/>
      <c r="U40" s="34"/>
    </row>
    <row r="41" ht="32.05" customHeight="1">
      <c r="J41" s="31"/>
      <c r="K41" t="s" s="46">
        <f>K36</f>
        <v>59</v>
      </c>
      <c r="L41" t="s" s="47">
        <v>70</v>
      </c>
      <c r="M41" t="s" s="47">
        <f>IF(P41&gt;0,"raised","paid")</f>
        <v>66</v>
      </c>
      <c r="N41" t="s" s="47">
        <v>91</v>
      </c>
      <c r="O41" t="s" s="47">
        <f>O36</f>
        <v>72</v>
      </c>
      <c r="P41" s="18">
        <f>AVERAGE(E4:E20)</f>
        <v>2062.817647058820</v>
      </c>
      <c r="Q41" t="s" s="47">
        <f>Q36</f>
        <v>65</v>
      </c>
      <c r="R41" t="s" s="47">
        <f>R36</f>
        <v>73</v>
      </c>
      <c r="S41" s="16">
        <f>P41/L29</f>
        <v>0.234869593844277</v>
      </c>
      <c r="T41" t="s" s="47">
        <f>T36</f>
        <v>74</v>
      </c>
      <c r="U41" s="34"/>
    </row>
    <row r="42" ht="32.05" customHeight="1">
      <c r="J42" s="31"/>
      <c r="K42" t="s" s="46">
        <v>75</v>
      </c>
      <c r="L42" t="s" s="47">
        <f>N41</f>
        <v>91</v>
      </c>
      <c r="M42" t="s" s="47">
        <v>86</v>
      </c>
      <c r="N42" t="s" s="47">
        <f>IF(P42&gt;0,"raised","paid")</f>
        <v>66</v>
      </c>
      <c r="O42" t="s" s="47">
        <v>72</v>
      </c>
      <c r="P42" s="18">
        <f>AVERAGE(E16:E20)</f>
        <v>4019.58</v>
      </c>
      <c r="Q42" t="s" s="47">
        <f>Q41</f>
        <v>65</v>
      </c>
      <c r="R42" t="s" s="47">
        <v>73</v>
      </c>
      <c r="S42" s="16">
        <f>P42/L29</f>
        <v>0.457663877061868</v>
      </c>
      <c r="T42" t="s" s="47">
        <f>T37</f>
        <v>74</v>
      </c>
      <c r="U42" s="34"/>
    </row>
    <row r="43" ht="44.05" customHeight="1">
      <c r="J43" s="31"/>
      <c r="K43" t="s" s="46">
        <v>92</v>
      </c>
      <c r="L43" t="s" s="47">
        <v>78</v>
      </c>
      <c r="M43" s="18">
        <f>MAX(H4:H20)</f>
        <v>35067.9</v>
      </c>
      <c r="N43" t="s" s="47">
        <f>Q42</f>
        <v>65</v>
      </c>
      <c r="O43" t="s" s="47">
        <v>79</v>
      </c>
      <c r="P43" s="22">
        <f>$B20</f>
        <v>2021</v>
      </c>
      <c r="Q43" s="34"/>
      <c r="R43" s="34"/>
      <c r="S43" s="34"/>
      <c r="T43" s="34"/>
      <c r="U43" s="34"/>
    </row>
    <row r="44" ht="44.05" customHeight="1">
      <c r="J44" s="31"/>
      <c r="K44" t="s" s="46">
        <v>80</v>
      </c>
      <c r="L44" t="s" s="47">
        <f>L42</f>
        <v>91</v>
      </c>
      <c r="M44" t="s" s="47">
        <v>81</v>
      </c>
      <c r="N44" t="s" s="47">
        <v>88</v>
      </c>
      <c r="O44" t="s" s="47">
        <f>IF(Q44&lt;M43,"down","up")</f>
        <v>83</v>
      </c>
      <c r="P44" t="s" s="47">
        <v>84</v>
      </c>
      <c r="Q44" s="18">
        <f>H20</f>
        <v>35067.9</v>
      </c>
      <c r="R44" t="s" s="47">
        <f>Q42</f>
        <v>65</v>
      </c>
      <c r="S44" s="16">
        <f>AVERAGE(E19:E20)/L29</f>
        <v>0.251508023533756</v>
      </c>
      <c r="T44" t="s" s="47">
        <f>T42</f>
        <v>74</v>
      </c>
      <c r="U44" t="s" s="47">
        <v>93</v>
      </c>
    </row>
  </sheetData>
  <mergeCells count="2">
    <mergeCell ref="B2:I2"/>
    <mergeCell ref="J22:U2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