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<sst xmlns="http://schemas.openxmlformats.org/spreadsheetml/2006/main" uniqueCount="58">
  <si>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</si>
  <si>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</si>
  <si>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</si>
  <si>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>Cashflow</t>
  </si>
  <si>
    <t>Growth</t>
  </si>
  <si>
    <t>Sales</t>
  </si>
  <si>
    <t>Cost ratio</t>
  </si>
  <si>
    <t xml:space="preserve">Cash costs </t>
  </si>
  <si>
    <t xml:space="preserve">Operating </t>
  </si>
  <si>
    <t xml:space="preserve">Investment </t>
  </si>
  <si>
    <t>Leases</t>
  </si>
  <si>
    <t xml:space="preserve">Liabilities </t>
  </si>
  <si>
    <t xml:space="preserve">Payout </t>
  </si>
  <si>
    <t>Equity</t>
  </si>
  <si>
    <t xml:space="preserve">Before revolver </t>
  </si>
  <si>
    <t xml:space="preserve">Revolver </t>
  </si>
  <si>
    <t xml:space="preserve">Finance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</si>
  <si>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</si>
  <si>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</si>
  <si>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</si>
  <si>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</si>
  <si>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</si>
  <si>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</si>
  <si>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</si>
  <si>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</si>
  <si>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</si>
  <si>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</si>
  <si>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</si>
  <si>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</si>
  <si>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</si>
  <si>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</si>
  <si>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</si>
  <si>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</si>
  <si>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</si>
  <si>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</si>
  <si>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</si>
  <si>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</si>
  <si>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</si>
  <si>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</si>
  <si>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</si>
  <si>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</si>
  <si>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</si>
  <si>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</si>
  <si>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</si>
  <si>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</si>
  <si>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</si>
  <si>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Cashflow costs </t>
  </si>
  <si>
    <t>Receipts</t>
  </si>
  <si>
    <t>Operating</t>
  </si>
  <si>
    <t>Interest</t>
  </si>
  <si>
    <t xml:space="preserve">Free cashflow </t>
  </si>
  <si>
    <t>Capital</t>
  </si>
  <si>
    <t>Cash</t>
  </si>
  <si>
    <t>Assetd</t>
  </si>
  <si>
    <t>Net cash</t>
  </si>
  <si>
    <t>Share price</t>
  </si>
  <si>
    <t>LINK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</si>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</sst>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751006</xdr:colOff>
      <xdr:row>2</xdr:row>
      <xdr:rowOff>125898</xdr:rowOff>
    </xdr:from>
    <xdr:to>
      <xdr:col>14</xdr:col>
      <xdr:colOff>708397</xdr:colOff>
      <xdr:row>50</xdr:row>
      <xdr:rowOff>73910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399206" y="716448"/>
          <a:ext cx="9914192" cy="1219779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5625" style="1" customWidth="1"/>
    <col min="2" max="2" width="14.7656" style="1" customWidth="1"/>
    <col min="3" max="3" width="9.20312" style="1" customWidth="1"/>
    <col min="4" max="6" width="9.11719" style="1" customWidth="1"/>
    <col min="7" max="16384" width="16.3516" style="1" customWidth="1"/>
  </cols>
  <sheetData>
    <row r="1" ht="18.8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5"/>
      <c r="E3" s="4"/>
      <c r="F3" t="s" s="6">
        <v>2</v>
      </c>
    </row>
    <row r="4" ht="20.3" customHeight="1">
      <c r="B4" t="s" s="7">
        <v>3</v>
      </c>
      <c r="C4" s="8">
        <f>AVERAGE('Sales'!H28:H31)</f>
        <v>0.0298522299871316</v>
      </c>
      <c r="D4" s="9"/>
      <c r="E4" s="9"/>
      <c r="F4" s="10">
        <f>AVERAGE(C5:F5)</f>
        <v>0.0225</v>
      </c>
    </row>
    <row r="5" ht="20.1" customHeight="1">
      <c r="B5" t="s" s="11">
        <v>4</v>
      </c>
      <c r="C5" s="12">
        <v>-0.01</v>
      </c>
      <c r="D5" s="13">
        <v>0.04</v>
      </c>
      <c r="E5" s="13">
        <v>0.03</v>
      </c>
      <c r="F5" s="13">
        <v>0.03</v>
      </c>
    </row>
    <row r="6" ht="20.1" customHeight="1">
      <c r="B6" t="s" s="11">
        <v>5</v>
      </c>
      <c r="C6" s="14">
        <f>'Sales'!C31*(1+C5)</f>
        <v>1210.968</v>
      </c>
      <c r="D6" s="15">
        <f>C6*(1+D5)</f>
        <v>1259.40672</v>
      </c>
      <c r="E6" s="15">
        <f>D6*(1+E5)</f>
        <v>1297.1889216</v>
      </c>
      <c r="F6" s="15">
        <f>E6*(1+F5)</f>
        <v>1336.104589248</v>
      </c>
    </row>
    <row r="7" ht="20.1" customHeight="1">
      <c r="B7" t="s" s="11">
        <v>6</v>
      </c>
      <c r="C7" s="16">
        <f>AVERAGE('Sales'!J31)</f>
        <v>-0.512996117536043</v>
      </c>
      <c r="D7" s="17">
        <f>C7</f>
        <v>-0.512996117536043</v>
      </c>
      <c r="E7" s="17">
        <f>D7</f>
        <v>-0.512996117536043</v>
      </c>
      <c r="F7" s="17">
        <f>E7</f>
        <v>-0.512996117536043</v>
      </c>
    </row>
    <row r="8" ht="20.1" customHeight="1">
      <c r="B8" t="s" s="11">
        <v>7</v>
      </c>
      <c r="C8" s="14">
        <f>C7*C6</f>
        <v>-621.221882460387</v>
      </c>
      <c r="D8" s="15">
        <f>D7*D6</f>
        <v>-646.070757758802</v>
      </c>
      <c r="E8" s="15">
        <f>E7*E6</f>
        <v>-665.452880491566</v>
      </c>
      <c r="F8" s="15">
        <f>F7*F6</f>
        <v>-685.416466906313</v>
      </c>
    </row>
    <row r="9" ht="20.05" customHeight="1">
      <c r="B9" t="s" s="11">
        <v>8</v>
      </c>
      <c r="C9" s="14">
        <f>C6+C8</f>
        <v>589.746117539613</v>
      </c>
      <c r="D9" s="15">
        <f>D6+D8</f>
        <v>613.335962241198</v>
      </c>
      <c r="E9" s="15">
        <f>E6+E8</f>
        <v>631.7360411084341</v>
      </c>
      <c r="F9" s="15">
        <f>F6+F8</f>
        <v>650.6881223416869</v>
      </c>
    </row>
    <row r="10" ht="20.05" customHeight="1">
      <c r="B10" t="s" s="11">
        <v>9</v>
      </c>
      <c r="C10" s="14">
        <f>AVERAGE('Cashflow '!E21:E31)</f>
        <v>-571.890909090909</v>
      </c>
      <c r="D10" s="15">
        <f>C10</f>
        <v>-571.890909090909</v>
      </c>
      <c r="E10" s="15">
        <f>D10</f>
        <v>-571.890909090909</v>
      </c>
      <c r="F10" s="15">
        <f>E10</f>
        <v>-571.890909090909</v>
      </c>
    </row>
    <row r="11" ht="20.1" customHeight="1">
      <c r="B11" t="s" s="11">
        <v>10</v>
      </c>
      <c r="C11" s="14">
        <f>SUM('Cashflow '!F25:F31)</f>
        <v>5.7</v>
      </c>
      <c r="D11" s="15">
        <f>C11</f>
        <v>5.7</v>
      </c>
      <c r="E11" s="15">
        <f>D11</f>
        <v>5.7</v>
      </c>
      <c r="F11" s="15">
        <f>E11</f>
        <v>5.7</v>
      </c>
    </row>
    <row r="12" ht="20.1" customHeight="1">
      <c r="B12" t="s" s="11">
        <v>11</v>
      </c>
      <c r="C12" s="14">
        <f>-('Balance sheet'!G31)/20</f>
        <v>-224.9</v>
      </c>
      <c r="D12" s="15">
        <f>-C28/20</f>
        <v>-213.655</v>
      </c>
      <c r="E12" s="15">
        <f>-D28/20</f>
        <v>-202.97225</v>
      </c>
      <c r="F12" s="15">
        <f>-E28/20</f>
        <v>-192.8236375</v>
      </c>
    </row>
    <row r="13" ht="20.1" customHeight="1">
      <c r="B13" t="s" s="11">
        <v>12</v>
      </c>
      <c r="C13" s="18">
        <v>0.1</v>
      </c>
      <c r="D13" s="15"/>
      <c r="E13" s="15"/>
      <c r="F13" s="15"/>
    </row>
    <row r="14" ht="20.1" customHeight="1">
      <c r="B14" t="s" s="11">
        <v>13</v>
      </c>
      <c r="C14" s="14">
        <f>IF(C23&gt;0,-C23*$C$13,0)</f>
        <v>-26.9746117539613</v>
      </c>
      <c r="D14" s="15">
        <f>IF(D23&gt;0,-D23*$C$13,0)</f>
        <v>-29.3335962241198</v>
      </c>
      <c r="E14" s="15">
        <f>IF(E23&gt;0,-E23*$C$13,0)</f>
        <v>-31.1736041108434</v>
      </c>
      <c r="F14" s="15">
        <f>IF(F23&gt;0,-F23*$C$13,0)</f>
        <v>-33.0688122341687</v>
      </c>
    </row>
    <row r="15" ht="20.05" customHeight="1">
      <c r="B15" t="s" s="11">
        <v>14</v>
      </c>
      <c r="C15" s="14">
        <f>C9+C10+C12+C14</f>
        <v>-234.019403305257</v>
      </c>
      <c r="D15" s="15">
        <f>D9+D10+D12+D14</f>
        <v>-201.543543073831</v>
      </c>
      <c r="E15" s="15">
        <f>E9+E10+E12+E14</f>
        <v>-174.300722093318</v>
      </c>
      <c r="F15" s="15">
        <f>F9+F10+F12+F14</f>
        <v>-147.095236483391</v>
      </c>
    </row>
    <row r="16" ht="20.1" customHeight="1">
      <c r="B16" t="s" s="11">
        <v>15</v>
      </c>
      <c r="C16" s="14">
        <f>-MIN(0,C15)</f>
        <v>234.019403305257</v>
      </c>
      <c r="D16" s="15">
        <f>-MIN(C29,D15)</f>
        <v>201.543543073831</v>
      </c>
      <c r="E16" s="15">
        <f>-MIN(D29,E15)</f>
        <v>174.300722093318</v>
      </c>
      <c r="F16" s="15">
        <f>-MIN(E29,F15)</f>
        <v>147.095236483391</v>
      </c>
    </row>
    <row r="17" ht="20.1" customHeight="1">
      <c r="B17" t="s" s="11">
        <v>16</v>
      </c>
      <c r="C17" s="14">
        <f>C12+C14+C16</f>
        <v>-17.8552084487043</v>
      </c>
      <c r="D17" s="15">
        <f>D12+D14+D16</f>
        <v>-41.4450531502888</v>
      </c>
      <c r="E17" s="15">
        <f>E12+E14+E16</f>
        <v>-59.8451320175254</v>
      </c>
      <c r="F17" s="15">
        <f>F12+F14+F16</f>
        <v>-78.7972132507777</v>
      </c>
    </row>
    <row r="18" ht="20.1" customHeight="1">
      <c r="B18" t="s" s="11">
        <v>17</v>
      </c>
      <c r="C18" s="14">
        <f>'Balance sheet'!C31</f>
        <v>270.1</v>
      </c>
      <c r="D18" s="15">
        <f>C20</f>
        <v>270.1</v>
      </c>
      <c r="E18" s="15">
        <f>D20</f>
        <v>270.1</v>
      </c>
      <c r="F18" s="15">
        <f>E20</f>
        <v>270.1</v>
      </c>
    </row>
    <row r="19" ht="20.1" customHeight="1">
      <c r="B19" t="s" s="11">
        <v>18</v>
      </c>
      <c r="C19" s="14">
        <f>C9+C10+C17</f>
        <v>-3e-13</v>
      </c>
      <c r="D19" s="15">
        <f>D9+D10+D17</f>
        <v>2e-13</v>
      </c>
      <c r="E19" s="15">
        <f>E9+E10+E17</f>
        <v>-4e-13</v>
      </c>
      <c r="F19" s="15">
        <f>F9+F10+F17</f>
        <v>3e-13</v>
      </c>
    </row>
    <row r="20" ht="20.1" customHeight="1">
      <c r="B20" t="s" s="11">
        <v>19</v>
      </c>
      <c r="C20" s="14">
        <f>C18+C19</f>
        <v>270.1</v>
      </c>
      <c r="D20" s="15">
        <f>D18+D19</f>
        <v>270.1</v>
      </c>
      <c r="E20" s="15">
        <f>E18+E19</f>
        <v>270.1</v>
      </c>
      <c r="F20" s="15">
        <f>F18+F19</f>
        <v>270.1</v>
      </c>
    </row>
    <row r="21" ht="20.1" customHeight="1">
      <c r="B21" t="s" s="19">
        <v>20</v>
      </c>
      <c r="C21" s="20"/>
      <c r="D21" s="21"/>
      <c r="E21" s="21"/>
      <c r="F21" s="21"/>
    </row>
    <row r="22" ht="20.1" customHeight="1">
      <c r="B22" t="s" s="11">
        <v>21</v>
      </c>
      <c r="C22" s="14">
        <f>-AVERAGE('Sales'!E31)</f>
        <v>-320</v>
      </c>
      <c r="D22" s="15">
        <f>C22</f>
        <v>-320</v>
      </c>
      <c r="E22" s="15">
        <f>D22</f>
        <v>-320</v>
      </c>
      <c r="F22" s="15">
        <f>E22</f>
        <v>-320</v>
      </c>
    </row>
    <row r="23" ht="20.1" customHeight="1">
      <c r="B23" t="s" s="11">
        <v>22</v>
      </c>
      <c r="C23" s="14">
        <f>C6+C8+C22</f>
        <v>269.746117539613</v>
      </c>
      <c r="D23" s="15">
        <f>D6+D8+D22</f>
        <v>293.335962241198</v>
      </c>
      <c r="E23" s="15">
        <f>E6+E8+E22</f>
        <v>311.736041108434</v>
      </c>
      <c r="F23" s="15">
        <f>F6+F8+F22</f>
        <v>330.688122341687</v>
      </c>
    </row>
    <row r="24" ht="20.1" customHeight="1">
      <c r="B24" t="s" s="19">
        <v>23</v>
      </c>
      <c r="C24" s="20"/>
      <c r="D24" s="21"/>
      <c r="E24" s="21"/>
      <c r="F24" s="21"/>
    </row>
    <row r="25" ht="20.05" customHeight="1">
      <c r="B25" t="s" s="11">
        <v>24</v>
      </c>
      <c r="C25" s="14">
        <f>'Balance sheet'!E31+'Balance sheet'!F31-C10</f>
        <v>16375.7909090909</v>
      </c>
      <c r="D25" s="15">
        <f>C25-D10</f>
        <v>16947.6818181818</v>
      </c>
      <c r="E25" s="15">
        <f>D25-E10</f>
        <v>17519.5727272727</v>
      </c>
      <c r="F25" s="15">
        <f>E25-F10</f>
        <v>18091.4636363636</v>
      </c>
    </row>
    <row r="26" ht="20.05" customHeight="1">
      <c r="B26" t="s" s="11">
        <v>25</v>
      </c>
      <c r="C26" s="14">
        <f>'Balance sheet'!F31-C22</f>
        <v>6647</v>
      </c>
      <c r="D26" s="15">
        <f>C26-D22</f>
        <v>6967</v>
      </c>
      <c r="E26" s="15">
        <f>D26-E22</f>
        <v>7287</v>
      </c>
      <c r="F26" s="15">
        <f>E26-F22</f>
        <v>7607</v>
      </c>
    </row>
    <row r="27" ht="20.05" customHeight="1">
      <c r="B27" t="s" s="11">
        <v>26</v>
      </c>
      <c r="C27" s="14">
        <f>C25-C26</f>
        <v>9728.7909090909</v>
      </c>
      <c r="D27" s="15">
        <f>D25-D26</f>
        <v>9980.6818181818</v>
      </c>
      <c r="E27" s="15">
        <f>E25-E26</f>
        <v>10232.5727272727</v>
      </c>
      <c r="F27" s="15">
        <f>F25-F26</f>
        <v>10484.4636363636</v>
      </c>
    </row>
    <row r="28" ht="20.05" customHeight="1">
      <c r="B28" t="s" s="11">
        <v>11</v>
      </c>
      <c r="C28" s="14">
        <f>'Balance sheet'!G31+C12</f>
        <v>4273.1</v>
      </c>
      <c r="D28" s="15">
        <f>C28+D12</f>
        <v>4059.445</v>
      </c>
      <c r="E28" s="15">
        <f>D28+E12</f>
        <v>3856.47275</v>
      </c>
      <c r="F28" s="15">
        <f>E28+F12</f>
        <v>3663.6491125</v>
      </c>
    </row>
    <row r="29" ht="20.05" customHeight="1">
      <c r="B29" t="s" s="11">
        <v>15</v>
      </c>
      <c r="C29" s="14">
        <f>C16</f>
        <v>234.019403305257</v>
      </c>
      <c r="D29" s="15">
        <f>C29+D16</f>
        <v>435.562946379088</v>
      </c>
      <c r="E29" s="15">
        <f>D29+E16</f>
        <v>609.8636684724059</v>
      </c>
      <c r="F29" s="15">
        <f>E29+F16</f>
        <v>756.958904955797</v>
      </c>
    </row>
    <row r="30" ht="20.1" customHeight="1">
      <c r="B30" t="s" s="11">
        <v>27</v>
      </c>
      <c r="C30" s="14">
        <f>'Balance sheet'!H31+C23+C14</f>
        <v>5491.771505785650</v>
      </c>
      <c r="D30" s="15">
        <f>C30+D23+D14</f>
        <v>5755.773871802730</v>
      </c>
      <c r="E30" s="15">
        <f>D30+E23+E14</f>
        <v>6036.336308800320</v>
      </c>
      <c r="F30" s="15">
        <f>E30+F23+F14</f>
        <v>6333.955618907840</v>
      </c>
    </row>
    <row r="31" ht="20.1" customHeight="1">
      <c r="B31" t="s" s="11">
        <v>28</v>
      </c>
      <c r="C31" s="14">
        <f>C28+C29+C30-C20-C27</f>
        <v>7e-12</v>
      </c>
      <c r="D31" s="15">
        <f>D28+D29+D30-D20-D27</f>
        <v>1.8e-11</v>
      </c>
      <c r="E31" s="15">
        <f>E28+E29+E30-E20-E27</f>
        <v>2.6e-11</v>
      </c>
      <c r="F31" s="15">
        <f>F28+F29+F30-F20-F27</f>
        <v>3.7e-11</v>
      </c>
    </row>
    <row r="32" ht="20.1" customHeight="1">
      <c r="B32" t="s" s="11">
        <v>29</v>
      </c>
      <c r="C32" s="14">
        <f>C20-C28-C29</f>
        <v>-4237.019403305260</v>
      </c>
      <c r="D32" s="15">
        <f>D20-D28-D29</f>
        <v>-4224.907946379090</v>
      </c>
      <c r="E32" s="15">
        <f>E20-E28-E29</f>
        <v>-4196.236418472410</v>
      </c>
      <c r="F32" s="15">
        <f>F20-F28-F29</f>
        <v>-4150.5080174558</v>
      </c>
    </row>
    <row r="33" ht="20.1" customHeight="1">
      <c r="B33" t="s" s="19">
        <v>30</v>
      </c>
      <c r="C33" s="14"/>
      <c r="D33" s="15"/>
      <c r="E33" s="15"/>
      <c r="F33" s="15"/>
    </row>
    <row r="34" ht="20.1" customHeight="1">
      <c r="B34" t="s" s="11">
        <v>31</v>
      </c>
      <c r="C34" s="14">
        <f>'Cashflow '!N31-C17</f>
        <v>533.5422084487039</v>
      </c>
      <c r="D34" s="15">
        <f>C34-D17</f>
        <v>574.987261598993</v>
      </c>
      <c r="E34" s="15">
        <f>D34-E17</f>
        <v>634.8323936165179</v>
      </c>
      <c r="F34" s="15">
        <f>E34-F17</f>
        <v>713.629606867296</v>
      </c>
    </row>
    <row r="35" ht="20.1" customHeight="1">
      <c r="B35" t="s" s="11">
        <v>32</v>
      </c>
      <c r="C35" s="14"/>
      <c r="D35" s="15"/>
      <c r="E35" s="15"/>
      <c r="F35" s="15">
        <v>12079436136448</v>
      </c>
    </row>
    <row r="36" ht="20.1" customHeight="1">
      <c r="B36" t="s" s="11">
        <v>32</v>
      </c>
      <c r="C36" s="14"/>
      <c r="D36" s="15"/>
      <c r="E36" s="15"/>
      <c r="F36" s="15">
        <f>F35/1000000000</f>
        <v>12079.436136448</v>
      </c>
    </row>
    <row r="37" ht="20.1" customHeight="1">
      <c r="B37" t="s" s="11">
        <v>33</v>
      </c>
      <c r="C37" s="14"/>
      <c r="D37" s="15"/>
      <c r="E37" s="15"/>
      <c r="F37" s="22">
        <f>F36/(F20+F25)</f>
        <v>0.657865330843918</v>
      </c>
    </row>
    <row r="38" ht="20.1" customHeight="1">
      <c r="B38" t="s" s="11">
        <v>34</v>
      </c>
      <c r="C38" s="14"/>
      <c r="D38" s="15"/>
      <c r="E38" s="15"/>
      <c r="F38" s="17">
        <f>-(C14+D14+E14+F14)/F36</f>
        <v>0.00997982215074995</v>
      </c>
    </row>
    <row r="39" ht="20.1" customHeight="1">
      <c r="B39" t="s" s="11">
        <v>35</v>
      </c>
      <c r="C39" s="14"/>
      <c r="D39" s="15"/>
      <c r="E39" s="15"/>
      <c r="F39" s="15">
        <f>SUM(F9:F11)*4</f>
        <v>337.988853003112</v>
      </c>
    </row>
    <row r="40" ht="20.1" customHeight="1">
      <c r="B40" t="s" s="11">
        <v>36</v>
      </c>
      <c r="C40" s="14"/>
      <c r="D40" s="15"/>
      <c r="E40" s="15"/>
      <c r="F40" s="15">
        <f>'Balance sheet'!E31/F39</f>
        <v>28.0390903895068</v>
      </c>
    </row>
    <row r="41" ht="20.1" customHeight="1">
      <c r="B41" t="s" s="11">
        <v>30</v>
      </c>
      <c r="C41" s="14"/>
      <c r="D41" s="15"/>
      <c r="E41" s="15"/>
      <c r="F41" s="15">
        <f>F36/F39</f>
        <v>35.7391553866919</v>
      </c>
    </row>
    <row r="42" ht="20.1" customHeight="1">
      <c r="B42" t="s" s="11">
        <v>37</v>
      </c>
      <c r="C42" s="14"/>
      <c r="D42" s="15"/>
      <c r="E42" s="15"/>
      <c r="F42" s="15">
        <v>32</v>
      </c>
    </row>
    <row r="43" ht="20.1" customHeight="1">
      <c r="B43" t="s" s="11">
        <v>38</v>
      </c>
      <c r="C43" s="14"/>
      <c r="D43" s="15"/>
      <c r="E43" s="15"/>
      <c r="F43" s="15">
        <f>F39*F42</f>
        <v>10815.6432960996</v>
      </c>
    </row>
    <row r="44" ht="20.1" customHeight="1">
      <c r="B44" t="s" s="11">
        <v>39</v>
      </c>
      <c r="C44" s="14"/>
      <c r="D44" s="15"/>
      <c r="E44" s="15"/>
      <c r="F44" s="15">
        <f>F36/F46</f>
        <v>2.75157998552346</v>
      </c>
    </row>
    <row r="45" ht="20.1" customHeight="1">
      <c r="B45" t="s" s="11">
        <v>40</v>
      </c>
      <c r="C45" s="14"/>
      <c r="D45" s="15"/>
      <c r="E45" s="15"/>
      <c r="F45" s="15">
        <f>F43/F44</f>
        <v>3930.702851816980</v>
      </c>
    </row>
    <row r="46" ht="20.1" customHeight="1">
      <c r="B46" t="s" s="11">
        <v>41</v>
      </c>
      <c r="C46" s="14"/>
      <c r="D46" s="15"/>
      <c r="E46" s="15"/>
      <c r="F46" s="15">
        <v>4390</v>
      </c>
    </row>
    <row r="47" ht="20.1" customHeight="1">
      <c r="B47" t="s" s="11">
        <v>42</v>
      </c>
      <c r="C47" s="14"/>
      <c r="D47" s="15"/>
      <c r="E47" s="15"/>
      <c r="F47" s="17">
        <f>F45/F46-1</f>
        <v>-0.104623496169253</v>
      </c>
    </row>
    <row r="48" ht="20.1" customHeight="1">
      <c r="B48" t="s" s="11">
        <v>43</v>
      </c>
      <c r="C48" s="14"/>
      <c r="D48" s="15"/>
      <c r="E48" s="15"/>
      <c r="F48" s="17">
        <f>'Sales'!C31/'Sales'!C27-1</f>
        <v>0.118098720292505</v>
      </c>
    </row>
    <row r="49" ht="20.1" customHeight="1">
      <c r="B49" t="s" s="11">
        <v>44</v>
      </c>
      <c r="C49" s="14"/>
      <c r="D49" s="15"/>
      <c r="E49" s="15"/>
      <c r="F49" s="17">
        <f>('Sales'!D23+'Sales'!D31+'Sales'!D24+'Sales'!D25+'Sales'!D26+'Sales'!D27+'Sales'!D28+'Sales'!D29+'Sales'!D30)/('Sales'!C23+'Sales'!C24+'Sales'!C25+'Sales'!C26+'Sales'!C27+'Sales'!C28+'Sales'!C29+'Sales'!C31+'Sales'!C30)-1</f>
        <v>-0.0260302241869277</v>
      </c>
    </row>
    <row r="50" ht="20.1" customHeight="1">
      <c r="B50" s="23"/>
      <c r="C50" s="14"/>
      <c r="D50" s="15"/>
      <c r="E50" s="15"/>
      <c r="F50" s="17"/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9688" style="24" customWidth="1"/>
    <col min="2" max="2" width="9.39062" style="24" customWidth="1"/>
    <col min="3" max="6" width="10.4062" style="24" customWidth="1"/>
    <col min="7" max="7" hidden="1" width="16.3333" style="24" customWidth="1"/>
    <col min="8" max="12" width="10.4062" style="24" customWidth="1"/>
    <col min="13" max="16384" width="16.3516" style="24" customWidth="1"/>
  </cols>
  <sheetData>
    <row r="1" ht="42.1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6">
        <v>1</v>
      </c>
      <c r="C3" t="s" s="6">
        <v>5</v>
      </c>
      <c r="D3" t="s" s="6">
        <v>37</v>
      </c>
      <c r="E3" t="s" s="6">
        <v>25</v>
      </c>
      <c r="F3" t="s" s="6">
        <v>20</v>
      </c>
      <c r="G3" t="s" s="6">
        <v>25</v>
      </c>
      <c r="H3" t="s" s="6">
        <v>45</v>
      </c>
      <c r="I3" t="s" s="6">
        <v>6</v>
      </c>
      <c r="J3" t="s" s="6">
        <v>6</v>
      </c>
      <c r="K3" t="s" s="6">
        <v>37</v>
      </c>
      <c r="L3" t="s" s="6">
        <v>46</v>
      </c>
    </row>
    <row r="4" ht="20.25" customHeight="1">
      <c r="B4" s="25">
        <v>2015</v>
      </c>
      <c r="C4" s="26">
        <v>599.9</v>
      </c>
      <c r="D4" s="27"/>
      <c r="E4" s="28">
        <v>112</v>
      </c>
      <c r="F4" s="28">
        <v>145.2</v>
      </c>
      <c r="G4" s="29">
        <f>#REF!</f>
      </c>
      <c r="H4" s="10"/>
      <c r="I4" s="30">
        <f>(E4+F4-C4)/C4</f>
        <v>-0.571261876979497</v>
      </c>
      <c r="J4" s="30"/>
      <c r="K4" s="30"/>
      <c r="L4" s="30">
        <f>('Cashflow '!D4+'Cashflow '!G4-'Cashflow '!C4)/'Cashflow '!C4</f>
        <v>-0.535010555946517</v>
      </c>
    </row>
    <row r="5" ht="20.05" customHeight="1">
      <c r="B5" s="31"/>
      <c r="C5" s="14">
        <v>637.6</v>
      </c>
      <c r="D5" s="21"/>
      <c r="E5" s="15">
        <v>125</v>
      </c>
      <c r="F5" s="15">
        <v>168.5</v>
      </c>
      <c r="G5" s="32">
        <f>#REF!-#REF!</f>
      </c>
      <c r="H5" s="17">
        <f>C5/C4-1</f>
        <v>0.0628438073012169</v>
      </c>
      <c r="I5" s="17">
        <f>(E5+F5-C5)/C5</f>
        <v>-0.539680050188206</v>
      </c>
      <c r="J5" s="17"/>
      <c r="K5" s="17"/>
      <c r="L5" s="17">
        <f>('Cashflow '!D5+'Cashflow '!G5-'Cashflow '!C5)/'Cashflow '!C5</f>
        <v>-0.537569499602859</v>
      </c>
    </row>
    <row r="6" ht="20.05" customHeight="1">
      <c r="B6" s="31"/>
      <c r="C6" s="14">
        <v>649.1</v>
      </c>
      <c r="D6" s="21"/>
      <c r="E6" s="15">
        <v>136</v>
      </c>
      <c r="F6" s="15">
        <v>147.2</v>
      </c>
      <c r="G6" s="32">
        <f>#REF!-#REF!</f>
      </c>
      <c r="H6" s="17">
        <f>C6/C5-1</f>
        <v>0.0180363864491844</v>
      </c>
      <c r="I6" s="17">
        <f>(E6+F6-C6)/C6</f>
        <v>-0.56370358958558</v>
      </c>
      <c r="J6" s="17"/>
      <c r="K6" s="17"/>
      <c r="L6" s="17">
        <f>('Cashflow '!D6+'Cashflow '!G6-'Cashflow '!C6)/'Cashflow '!C6</f>
        <v>-0.53712</v>
      </c>
    </row>
    <row r="7" ht="20.05" customHeight="1">
      <c r="B7" s="31"/>
      <c r="C7" s="14">
        <v>677.7</v>
      </c>
      <c r="D7" s="21"/>
      <c r="E7" s="15">
        <v>142</v>
      </c>
      <c r="F7" s="15">
        <v>178.8</v>
      </c>
      <c r="G7" s="32">
        <f>#REF!-#REF!</f>
      </c>
      <c r="H7" s="17">
        <f>C7/C6-1</f>
        <v>0.0440610075489139</v>
      </c>
      <c r="I7" s="17">
        <f>(E7+F7-C7)/C7</f>
        <v>-0.526634203925041</v>
      </c>
      <c r="J7" s="17"/>
      <c r="K7" s="17"/>
      <c r="L7" s="17">
        <f>('Cashflow '!D7+'Cashflow '!G7-'Cashflow '!C7)/'Cashflow '!C7</f>
        <v>-0.513737922705314</v>
      </c>
    </row>
    <row r="8" ht="20.05" customHeight="1">
      <c r="B8" s="33">
        <v>2016</v>
      </c>
      <c r="C8" s="14">
        <v>673.8</v>
      </c>
      <c r="D8" s="21"/>
      <c r="E8" s="15">
        <v>145</v>
      </c>
      <c r="F8" s="15">
        <v>188</v>
      </c>
      <c r="G8" s="32">
        <f>#REF!</f>
      </c>
      <c r="H8" s="17">
        <f>C8/C7-1</f>
        <v>-0.00575475874280655</v>
      </c>
      <c r="I8" s="17">
        <f>(E8+F8-C8)/C8</f>
        <v>-0.505788067675868</v>
      </c>
      <c r="J8" s="17">
        <f>AVERAGE(I5:I8)</f>
        <v>-0.533951477843674</v>
      </c>
      <c r="K8" s="17"/>
      <c r="L8" s="17">
        <f>('Cashflow '!D8+'Cashflow '!G8-'Cashflow '!C8)/'Cashflow '!C8</f>
        <v>-0.426333746898263</v>
      </c>
    </row>
    <row r="9" ht="20.05" customHeight="1">
      <c r="B9" s="31"/>
      <c r="C9" s="14">
        <v>719.3</v>
      </c>
      <c r="D9" s="21"/>
      <c r="E9" s="15">
        <v>149</v>
      </c>
      <c r="F9" s="15">
        <v>209.4</v>
      </c>
      <c r="G9" s="32">
        <f>#REF!-#REF!</f>
      </c>
      <c r="H9" s="17">
        <f>C9/C8-1</f>
        <v>0.0675274562184625</v>
      </c>
      <c r="I9" s="17">
        <f>(E9+F9-C9)/C9</f>
        <v>-0.501737800639511</v>
      </c>
      <c r="J9" s="17">
        <f>AVERAGE(I6:I9)</f>
        <v>-0.5244659154565</v>
      </c>
      <c r="K9" s="17"/>
      <c r="L9" s="17">
        <f>('Cashflow '!D9+'Cashflow '!G9-'Cashflow '!C9)/'Cashflow '!C9</f>
        <v>-0.619649227110583</v>
      </c>
    </row>
    <row r="10" ht="20.05" customHeight="1">
      <c r="B10" s="31"/>
      <c r="C10" s="14">
        <v>752.3</v>
      </c>
      <c r="D10" s="21"/>
      <c r="E10" s="15">
        <v>153</v>
      </c>
      <c r="F10" s="15">
        <v>207.2</v>
      </c>
      <c r="G10" s="32">
        <f>#REF!-#REF!</f>
      </c>
      <c r="H10" s="17">
        <f>C10/C9-1</f>
        <v>0.0458779368830808</v>
      </c>
      <c r="I10" s="17">
        <f>(E10+F10-C10)/C10</f>
        <v>-0.521201648278612</v>
      </c>
      <c r="J10" s="17">
        <f>AVERAGE(I7:I10)</f>
        <v>-0.513840430129758</v>
      </c>
      <c r="K10" s="17"/>
      <c r="L10" s="17">
        <f>('Cashflow '!D10+'Cashflow '!G10-'Cashflow '!C10)/'Cashflow '!C10</f>
        <v>-0.396293550778354</v>
      </c>
    </row>
    <row r="11" ht="20.05" customHeight="1">
      <c r="B11" s="31"/>
      <c r="C11" s="14">
        <v>808.8</v>
      </c>
      <c r="D11" s="21"/>
      <c r="E11" s="15">
        <v>158</v>
      </c>
      <c r="F11" s="15">
        <v>214</v>
      </c>
      <c r="G11" s="32">
        <f>#REF!-#REF!</f>
      </c>
      <c r="H11" s="17">
        <f>C11/C10-1</f>
        <v>0.075103017413266</v>
      </c>
      <c r="I11" s="17">
        <f>(E11+F11-C11)/C11</f>
        <v>-0.540059347181009</v>
      </c>
      <c r="J11" s="17">
        <f>AVERAGE(I8:I11)</f>
        <v>-0.5171967159437501</v>
      </c>
      <c r="K11" s="17"/>
      <c r="L11" s="17">
        <f>('Cashflow '!D11+'Cashflow '!G11-'Cashflow '!C11)/'Cashflow '!C11</f>
        <v>-0.407437255353442</v>
      </c>
    </row>
    <row r="12" ht="20.05" customHeight="1">
      <c r="B12" s="33">
        <v>2017</v>
      </c>
      <c r="C12" s="14">
        <v>809</v>
      </c>
      <c r="D12" s="21"/>
      <c r="E12" s="15">
        <v>155</v>
      </c>
      <c r="F12" s="15">
        <v>236.2</v>
      </c>
      <c r="G12" s="32">
        <f>#REF!</f>
      </c>
      <c r="H12" s="17">
        <f>C12/C11-1</f>
        <v>0.000247279920870425</v>
      </c>
      <c r="I12" s="17">
        <f>(E12+F12-C12)/C12</f>
        <v>-0.516440049443758</v>
      </c>
      <c r="J12" s="17">
        <f>AVERAGE(I9:I12)</f>
        <v>-0.519859711385723</v>
      </c>
      <c r="K12" s="17"/>
      <c r="L12" s="17">
        <f>('Cashflow '!D12+'Cashflow '!G12-'Cashflow '!C12)/'Cashflow '!C12</f>
        <v>-0.54101175538238</v>
      </c>
    </row>
    <row r="13" ht="20.05" customHeight="1">
      <c r="B13" s="31"/>
      <c r="C13" s="14">
        <v>841.6</v>
      </c>
      <c r="D13" s="21"/>
      <c r="E13" s="15">
        <v>159</v>
      </c>
      <c r="F13" s="15">
        <v>254</v>
      </c>
      <c r="G13" s="32">
        <f>#REF!-#REF!</f>
      </c>
      <c r="H13" s="17">
        <f>C13/C12-1</f>
        <v>0.0402966625463535</v>
      </c>
      <c r="I13" s="17">
        <f>(E13+F13-C13)/C13</f>
        <v>-0.509268060836502</v>
      </c>
      <c r="J13" s="17">
        <f>AVERAGE(I10:I13)</f>
        <v>-0.52174227643497</v>
      </c>
      <c r="K13" s="17"/>
      <c r="L13" s="17">
        <f>('Cashflow '!D13+'Cashflow '!G13-'Cashflow '!C13)/'Cashflow '!C13</f>
        <v>-0.558903736023998</v>
      </c>
    </row>
    <row r="14" ht="20.05" customHeight="1">
      <c r="B14" s="31"/>
      <c r="C14" s="14">
        <v>854.7</v>
      </c>
      <c r="D14" s="21"/>
      <c r="E14" s="15">
        <v>162</v>
      </c>
      <c r="F14" s="15">
        <v>250.1</v>
      </c>
      <c r="G14" s="32">
        <f>#REF!-#REF!</f>
      </c>
      <c r="H14" s="17">
        <f>C14/C13-1</f>
        <v>0.0155655893536122</v>
      </c>
      <c r="I14" s="17">
        <f>(E14+F14-C14)/C14</f>
        <v>-0.517842517842518</v>
      </c>
      <c r="J14" s="17">
        <f>AVERAGE(I11:I14)</f>
        <v>-0.520902493825947</v>
      </c>
      <c r="K14" s="17"/>
      <c r="L14" s="17">
        <f>('Cashflow '!D14+'Cashflow '!G14-'Cashflow '!C14)/'Cashflow '!C14</f>
        <v>-0.6106789589935659</v>
      </c>
    </row>
    <row r="15" ht="20.05" customHeight="1">
      <c r="B15" s="31"/>
      <c r="C15" s="14">
        <v>893.8</v>
      </c>
      <c r="D15" s="21"/>
      <c r="E15" s="15">
        <v>168</v>
      </c>
      <c r="F15" s="15">
        <v>267</v>
      </c>
      <c r="G15" s="32">
        <f>#REF!-#REF!</f>
      </c>
      <c r="H15" s="17">
        <f>C15/C14-1</f>
        <v>0.0457470457470457</v>
      </c>
      <c r="I15" s="17">
        <f>(E15+F15-C15)/C15</f>
        <v>-0.513313940478854</v>
      </c>
      <c r="J15" s="17">
        <f>AVERAGE(I12:I15)</f>
        <v>-0.514216142150408</v>
      </c>
      <c r="K15" s="17"/>
      <c r="L15" s="17">
        <f>('Cashflow '!D15+'Cashflow '!G15-'Cashflow '!C15)/'Cashflow '!C15</f>
        <v>-0.412245975191343</v>
      </c>
    </row>
    <row r="16" ht="20.05" customHeight="1">
      <c r="B16" s="33">
        <v>2018</v>
      </c>
      <c r="C16" s="14">
        <v>905.6</v>
      </c>
      <c r="D16" s="21"/>
      <c r="E16" s="15">
        <v>175</v>
      </c>
      <c r="F16" s="15">
        <v>266.3</v>
      </c>
      <c r="G16" s="32">
        <f>#REF!</f>
      </c>
      <c r="H16" s="17">
        <f>C16/C15-1</f>
        <v>0.0132020586260908</v>
      </c>
      <c r="I16" s="17">
        <f>(E16+F16-C16)/C16</f>
        <v>-0.512698763250883</v>
      </c>
      <c r="J16" s="17">
        <f>AVERAGE(I13:I16)</f>
        <v>-0.513280820602189</v>
      </c>
      <c r="K16" s="17"/>
      <c r="L16" s="17">
        <f>('Cashflow '!D16+'Cashflow '!G16-'Cashflow '!C16)/'Cashflow '!C16</f>
        <v>-0.382214156079855</v>
      </c>
    </row>
    <row r="17" ht="20.05" customHeight="1">
      <c r="B17" s="31"/>
      <c r="C17" s="14">
        <v>939.6</v>
      </c>
      <c r="D17" s="21"/>
      <c r="E17" s="15">
        <v>176</v>
      </c>
      <c r="F17" s="15">
        <v>280.5</v>
      </c>
      <c r="G17" s="32">
        <f>#REF!-#REF!</f>
      </c>
      <c r="H17" s="17">
        <f>C17/C16-1</f>
        <v>0.0375441696113074</v>
      </c>
      <c r="I17" s="17">
        <f>(E17+F17-C17)/C17</f>
        <v>-0.514154959557258</v>
      </c>
      <c r="J17" s="17">
        <f>AVERAGE(I14:I17)</f>
        <v>-0.514502545282378</v>
      </c>
      <c r="K17" s="17"/>
      <c r="L17" s="17">
        <f>('Cashflow '!D17+'Cashflow '!G17-'Cashflow '!C17)/'Cashflow '!C17</f>
        <v>-0.558634397287501</v>
      </c>
    </row>
    <row r="18" ht="20.05" customHeight="1">
      <c r="B18" s="31"/>
      <c r="C18" s="14">
        <v>949.1</v>
      </c>
      <c r="D18" s="21"/>
      <c r="E18" s="15">
        <v>182</v>
      </c>
      <c r="F18" s="15">
        <v>268.9</v>
      </c>
      <c r="G18" s="34">
        <f>#REF!</f>
      </c>
      <c r="H18" s="17">
        <f>C18/C17-1</f>
        <v>0.0101106853980417</v>
      </c>
      <c r="I18" s="17">
        <f>(E18+F18-C18)/C18</f>
        <v>-0.524918343694026</v>
      </c>
      <c r="J18" s="17">
        <f>AVERAGE(I15:I18)</f>
        <v>-0.516271501745255</v>
      </c>
      <c r="K18" s="17"/>
      <c r="L18" s="17">
        <f>('Cashflow '!D18+'Cashflow '!G18-'Cashflow '!C18)/'Cashflow '!C18</f>
        <v>-0.590571596935769</v>
      </c>
    </row>
    <row r="19" ht="20.05" customHeight="1">
      <c r="B19" s="31"/>
      <c r="C19" s="14">
        <v>931.7</v>
      </c>
      <c r="D19" s="21"/>
      <c r="E19" s="15">
        <v>185</v>
      </c>
      <c r="F19" s="15">
        <v>-26.7</v>
      </c>
      <c r="G19" s="34"/>
      <c r="H19" s="17">
        <f>C19/C18-1</f>
        <v>-0.0183331577283742</v>
      </c>
      <c r="I19" s="17">
        <f>(E19+F19-C19)/C19</f>
        <v>-0.8300955243104</v>
      </c>
      <c r="J19" s="17">
        <f>AVERAGE(I16:I19)</f>
        <v>-0.595466897703142</v>
      </c>
      <c r="K19" s="17"/>
      <c r="L19" s="17">
        <f>('Cashflow '!D19+'Cashflow '!G19-'Cashflow '!C19)/'Cashflow '!C19</f>
        <v>-0.5513152650458349</v>
      </c>
    </row>
    <row r="20" ht="20.05" customHeight="1">
      <c r="B20" s="33">
        <v>2019</v>
      </c>
      <c r="C20" s="14">
        <v>891</v>
      </c>
      <c r="D20" s="21"/>
      <c r="E20" s="15">
        <v>190</v>
      </c>
      <c r="F20" s="15">
        <v>264</v>
      </c>
      <c r="G20" s="34"/>
      <c r="H20" s="17">
        <f>C20/C19-1</f>
        <v>-0.0436835891381346</v>
      </c>
      <c r="I20" s="17">
        <f>(E20+F20-C20)/C20</f>
        <v>-0.490460157126824</v>
      </c>
      <c r="J20" s="17">
        <f>AVERAGE(I17:I20)</f>
        <v>-0.589907246172127</v>
      </c>
      <c r="K20" s="17"/>
      <c r="L20" s="17">
        <f>('Cashflow '!D20+'Cashflow '!G20-'Cashflow '!C20)/'Cashflow '!C20</f>
        <v>-0.585044760400211</v>
      </c>
    </row>
    <row r="21" ht="20.05" customHeight="1">
      <c r="B21" s="31"/>
      <c r="C21" s="14">
        <v>915</v>
      </c>
      <c r="D21" s="21"/>
      <c r="E21" s="15">
        <v>187</v>
      </c>
      <c r="F21" s="15">
        <v>263</v>
      </c>
      <c r="G21" s="34"/>
      <c r="H21" s="17">
        <f>C21/C20-1</f>
        <v>0.0269360269360269</v>
      </c>
      <c r="I21" s="17">
        <f>(E21+F21-C21)/C21</f>
        <v>-0.508196721311475</v>
      </c>
      <c r="J21" s="17">
        <f>AVERAGE(I18:I21)</f>
        <v>-0.5884176866106809</v>
      </c>
      <c r="K21" s="17"/>
      <c r="L21" s="17">
        <f>('Cashflow '!D21+'Cashflow '!G21-'Cashflow '!C21)/'Cashflow '!C21</f>
        <v>-0.677882107459572</v>
      </c>
    </row>
    <row r="22" ht="20.05" customHeight="1">
      <c r="B22" s="31"/>
      <c r="C22" s="14">
        <v>961</v>
      </c>
      <c r="D22" s="21"/>
      <c r="E22" s="15">
        <v>196</v>
      </c>
      <c r="F22" s="15">
        <v>246</v>
      </c>
      <c r="G22" s="34"/>
      <c r="H22" s="17">
        <f>C22/C21-1</f>
        <v>0.0502732240437158</v>
      </c>
      <c r="I22" s="17">
        <f>(E22+F22-C22)/C22</f>
        <v>-0.54006243496358</v>
      </c>
      <c r="J22" s="17">
        <f>AVERAGE(I19:I22)</f>
        <v>-0.59220370942807</v>
      </c>
      <c r="K22" s="17"/>
      <c r="L22" s="17">
        <f>('Cashflow '!D22+'Cashflow '!G22-'Cashflow '!C22)/'Cashflow '!C22</f>
        <v>-0.495849984629573</v>
      </c>
    </row>
    <row r="23" ht="20.05" customHeight="1">
      <c r="B23" s="31"/>
      <c r="C23" s="14">
        <v>988</v>
      </c>
      <c r="D23" s="15">
        <v>978.285</v>
      </c>
      <c r="E23" s="15">
        <v>202</v>
      </c>
      <c r="F23" s="15">
        <v>122</v>
      </c>
      <c r="G23" s="34"/>
      <c r="H23" s="17">
        <f>C23/C22-1</f>
        <v>0.0280957336108221</v>
      </c>
      <c r="I23" s="17">
        <f>(E23+F23-C23)/C23</f>
        <v>-0.672064777327935</v>
      </c>
      <c r="J23" s="17">
        <f>AVERAGE(I20:I23)</f>
        <v>-0.552696022682454</v>
      </c>
      <c r="K23" s="17"/>
      <c r="L23" s="17">
        <f>('Cashflow '!D23+'Cashflow '!G23-'Cashflow '!C23)/'Cashflow '!C23</f>
        <v>-0.381471389645777</v>
      </c>
    </row>
    <row r="24" ht="20.05" customHeight="1">
      <c r="B24" s="33">
        <v>2020</v>
      </c>
      <c r="C24" s="14">
        <v>958.9</v>
      </c>
      <c r="D24" s="15">
        <v>935.55</v>
      </c>
      <c r="E24" s="15">
        <v>209</v>
      </c>
      <c r="F24" s="15">
        <v>197.7</v>
      </c>
      <c r="G24" s="34"/>
      <c r="H24" s="17">
        <f>C24/C23-1</f>
        <v>-0.0294534412955466</v>
      </c>
      <c r="I24" s="17">
        <f>(E24+F24-C24)/C24</f>
        <v>-0.57586818229221</v>
      </c>
      <c r="J24" s="17">
        <f>AVERAGE(I21:I24)</f>
        <v>-0.5740480289738</v>
      </c>
      <c r="K24" s="17"/>
      <c r="L24" s="17">
        <f>('Cashflow '!D24+'Cashflow '!G24-'Cashflow '!C24)/'Cashflow '!C24</f>
        <v>-0.613364928909953</v>
      </c>
    </row>
    <row r="25" ht="20.05" customHeight="1">
      <c r="B25" s="31"/>
      <c r="C25" s="14">
        <f>1930-C24</f>
        <v>971.1</v>
      </c>
      <c r="D25" s="35">
        <v>896.7</v>
      </c>
      <c r="E25" s="15">
        <f>402-E24</f>
        <v>193</v>
      </c>
      <c r="F25" s="15">
        <f>456-F24</f>
        <v>258.3</v>
      </c>
      <c r="G25" s="34"/>
      <c r="H25" s="17">
        <f>C25/C24-1</f>
        <v>0.0127229116696214</v>
      </c>
      <c r="I25" s="17">
        <f>(E25+F25-C25)/C25</f>
        <v>-0.535269282257234</v>
      </c>
      <c r="J25" s="17">
        <f>AVERAGE(I22:I25)</f>
        <v>-0.58081616921024</v>
      </c>
      <c r="K25" s="17"/>
      <c r="L25" s="17">
        <f>('Cashflow '!D25+'Cashflow '!G25-'Cashflow '!C25)/'Cashflow '!C25</f>
        <v>-0.292773714659972</v>
      </c>
    </row>
    <row r="26" ht="20.05" customHeight="1">
      <c r="B26" s="31"/>
      <c r="C26" s="14">
        <v>1024</v>
      </c>
      <c r="D26" s="21">
        <v>980</v>
      </c>
      <c r="E26" s="15">
        <f>654-E25-E24</f>
        <v>252</v>
      </c>
      <c r="F26" s="15">
        <f>698.9-SUM(F24:F25)</f>
        <v>242.9</v>
      </c>
      <c r="G26" s="34"/>
      <c r="H26" s="17">
        <f>C26/C25-1</f>
        <v>0.0544743074863557</v>
      </c>
      <c r="I26" s="17">
        <f>(E26+F26-C26)/C26</f>
        <v>-0.516699218750</v>
      </c>
      <c r="J26" s="17">
        <f>AVERAGE(I23:I26)</f>
        <v>-0.574975365156845</v>
      </c>
      <c r="K26" s="17"/>
      <c r="L26" s="17">
        <f>('Cashflow '!D26+'Cashflow '!G26-'Cashflow '!C26)/'Cashflow '!C26</f>
        <v>-0.414829659318637</v>
      </c>
    </row>
    <row r="27" ht="20.05" customHeight="1">
      <c r="B27" s="31"/>
      <c r="C27" s="14">
        <f>4048-SUM(C24:C26)</f>
        <v>1094</v>
      </c>
      <c r="D27" s="15">
        <v>1054.72</v>
      </c>
      <c r="E27" s="15">
        <f>46.6+35.1+849.4-SUM(E24:E26)</f>
        <v>277.1</v>
      </c>
      <c r="F27" s="15">
        <f>941.7-SUM(F24:F26)</f>
        <v>242.8</v>
      </c>
      <c r="G27" s="34"/>
      <c r="H27" s="17">
        <f>C27/C26-1</f>
        <v>0.068359375</v>
      </c>
      <c r="I27" s="17">
        <f>(E27+F27-C27)/C27</f>
        <v>-0.524771480804388</v>
      </c>
      <c r="J27" s="17">
        <f>AVERAGE(I24:I27)</f>
        <v>-0.538152041025958</v>
      </c>
      <c r="K27" s="17"/>
      <c r="L27" s="17">
        <f>('Cashflow '!D27+'Cashflow '!G27-'Cashflow '!C27)/'Cashflow '!C27</f>
        <v>-0.849470222871757</v>
      </c>
    </row>
    <row r="28" ht="20.05" customHeight="1">
      <c r="B28" s="33">
        <v>2021</v>
      </c>
      <c r="C28" s="14">
        <v>1068.8</v>
      </c>
      <c r="D28" s="15">
        <v>1044.1728</v>
      </c>
      <c r="E28" s="15">
        <v>320</v>
      </c>
      <c r="F28" s="15">
        <v>249</v>
      </c>
      <c r="G28" s="34"/>
      <c r="H28" s="17">
        <f>C28/C27-1</f>
        <v>-0.0230347349177331</v>
      </c>
      <c r="I28" s="17">
        <f>(E28+F28-C28)/C28</f>
        <v>-0.467627245508982</v>
      </c>
      <c r="J28" s="17">
        <f>AVERAGE(I25:I28)</f>
        <v>-0.511091806830151</v>
      </c>
      <c r="K28" s="17"/>
      <c r="L28" s="17">
        <f>('Cashflow '!D28+'Cashflow '!G28-'Cashflow '!C28)/'Cashflow '!C28</f>
        <v>-0.481611374407583</v>
      </c>
    </row>
    <row r="29" ht="20.05" customHeight="1">
      <c r="B29" s="31"/>
      <c r="C29" s="14">
        <f>2155.8-C28</f>
        <v>1087</v>
      </c>
      <c r="D29" s="15">
        <v>1090.176</v>
      </c>
      <c r="E29" s="15">
        <v>320</v>
      </c>
      <c r="F29" s="15">
        <f>471.8-F28</f>
        <v>222.8</v>
      </c>
      <c r="G29" s="34"/>
      <c r="H29" s="17">
        <f>C29/C28-1</f>
        <v>0.0170284431137725</v>
      </c>
      <c r="I29" s="17">
        <f>(E29+F29-C29)/C29</f>
        <v>-0.50064397424103</v>
      </c>
      <c r="J29" s="17">
        <f>AVERAGE(I26:I29)</f>
        <v>-0.5024354798261</v>
      </c>
      <c r="K29" s="17"/>
      <c r="L29" s="17">
        <f>('Cashflow '!D29+'Cashflow '!G29-'Cashflow '!C29)/'Cashflow '!C29</f>
        <v>-0.683460559796438</v>
      </c>
    </row>
    <row r="30" ht="20.05" customHeight="1">
      <c r="B30" s="31"/>
      <c r="C30" s="14">
        <f>3241.8-SUM(C28:C29)</f>
        <v>1086</v>
      </c>
      <c r="D30" s="15">
        <v>1133.78304</v>
      </c>
      <c r="E30" s="15">
        <v>320</v>
      </c>
      <c r="F30" s="15">
        <f>686.9-SUM(F28:F29)</f>
        <v>215.1</v>
      </c>
      <c r="G30" s="34"/>
      <c r="H30" s="17">
        <f>C30/C29-1</f>
        <v>-0.000919963201471941</v>
      </c>
      <c r="I30" s="17">
        <f>(E30+F30-C30)/C30</f>
        <v>-0.5072744014732971</v>
      </c>
      <c r="J30" s="17">
        <f>AVERAGE(I27:I30)</f>
        <v>-0.500079275506924</v>
      </c>
      <c r="K30" s="17"/>
      <c r="L30" s="17">
        <f>('Cashflow '!D30+'Cashflow '!G30-'Cashflow '!C30)/'Cashflow '!C30</f>
        <v>-0.66275289017341</v>
      </c>
    </row>
    <row r="31" ht="20.05" customHeight="1">
      <c r="B31" s="31"/>
      <c r="C31" s="14">
        <f>4465-SUM(C28:C30)</f>
        <v>1223.2</v>
      </c>
      <c r="D31" s="15">
        <v>1140.3</v>
      </c>
      <c r="E31" s="15">
        <v>320</v>
      </c>
      <c r="F31" s="35">
        <f>885-SUM(F28:F30)</f>
        <v>198.1</v>
      </c>
      <c r="G31" s="34"/>
      <c r="H31" s="17">
        <f>C31/C30-1</f>
        <v>0.126335174953959</v>
      </c>
      <c r="I31" s="17">
        <f>(E31+F31-C31)/C31</f>
        <v>-0.5764388489208629</v>
      </c>
      <c r="J31" s="17">
        <f>AVERAGE(I28:I31)</f>
        <v>-0.512996117536043</v>
      </c>
      <c r="K31" s="17">
        <f>J31</f>
        <v>-0.512996117536043</v>
      </c>
      <c r="L31" s="17">
        <f>('Cashflow '!D31+'Cashflow '!G31-'Cashflow '!C31)/'Cashflow '!C31</f>
        <v>-0.448605657907983</v>
      </c>
    </row>
    <row r="32" ht="20.05" customHeight="1">
      <c r="B32" s="33">
        <v>2022</v>
      </c>
      <c r="C32" s="14"/>
      <c r="D32" s="15">
        <f>'Model'!C6</f>
        <v>1210.968</v>
      </c>
      <c r="E32" s="21"/>
      <c r="F32" s="21"/>
      <c r="G32" s="34"/>
      <c r="H32" s="13"/>
      <c r="I32" s="13"/>
      <c r="J32" s="17"/>
      <c r="K32" s="13">
        <f>'Model'!C7</f>
        <v>-0.512996117536043</v>
      </c>
      <c r="L32" s="17"/>
    </row>
    <row r="33" ht="20.05" customHeight="1">
      <c r="B33" s="31"/>
      <c r="C33" s="14"/>
      <c r="D33" s="15">
        <f>'Model'!D6</f>
        <v>1259.40672</v>
      </c>
      <c r="E33" s="21"/>
      <c r="F33" s="21"/>
      <c r="G33" s="34"/>
      <c r="H33" s="13"/>
      <c r="I33" s="13"/>
      <c r="J33" s="17"/>
      <c r="K33" s="17"/>
      <c r="L33" s="17"/>
    </row>
    <row r="34" ht="20.05" customHeight="1">
      <c r="B34" s="31"/>
      <c r="C34" s="14"/>
      <c r="D34" s="15">
        <f>'Model'!E6</f>
        <v>1297.1889216</v>
      </c>
      <c r="E34" s="21"/>
      <c r="F34" s="21"/>
      <c r="G34" s="34"/>
      <c r="H34" s="13"/>
      <c r="I34" s="13"/>
      <c r="J34" s="17"/>
      <c r="K34" s="17"/>
      <c r="L34" s="17"/>
    </row>
    <row r="35" ht="20.05" customHeight="1">
      <c r="B35" s="31"/>
      <c r="C35" s="14"/>
      <c r="D35" s="15">
        <f>'Model'!F6</f>
        <v>1336.104589248</v>
      </c>
      <c r="E35" s="21"/>
      <c r="F35" s="21"/>
      <c r="G35" s="34"/>
      <c r="H35" s="13"/>
      <c r="I35" s="13"/>
      <c r="J35" s="17"/>
      <c r="K35" s="17"/>
      <c r="L35" s="17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46094" style="36" customWidth="1"/>
    <col min="2" max="2" width="7.47656" style="36" customWidth="1"/>
    <col min="3" max="16" width="11.2734" style="36" customWidth="1"/>
    <col min="17" max="16384" width="16.3516" style="36" customWidth="1"/>
  </cols>
  <sheetData>
    <row r="1" ht="19.3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6">
        <v>1</v>
      </c>
      <c r="C3" t="s" s="6">
        <v>47</v>
      </c>
      <c r="D3" t="s" s="6">
        <v>48</v>
      </c>
      <c r="E3" t="s" s="6">
        <v>9</v>
      </c>
      <c r="F3" t="s" s="6">
        <v>10</v>
      </c>
      <c r="G3" t="s" s="6">
        <v>49</v>
      </c>
      <c r="H3" t="s" s="6">
        <v>11</v>
      </c>
      <c r="I3" t="s" s="6">
        <v>27</v>
      </c>
      <c r="J3" t="s" s="6">
        <v>16</v>
      </c>
      <c r="K3" t="s" s="6">
        <v>50</v>
      </c>
      <c r="L3" t="s" s="6">
        <v>35</v>
      </c>
      <c r="M3" t="s" s="6">
        <v>37</v>
      </c>
      <c r="N3" t="s" s="6">
        <v>51</v>
      </c>
      <c r="O3" t="s" s="6">
        <v>37</v>
      </c>
      <c r="P3" s="5"/>
    </row>
    <row r="4" ht="20.25" customHeight="1">
      <c r="B4" s="25">
        <v>2015</v>
      </c>
      <c r="C4" s="26">
        <v>568.4</v>
      </c>
      <c r="D4" s="37">
        <v>267.8</v>
      </c>
      <c r="E4" s="37">
        <v>-207.8</v>
      </c>
      <c r="F4" s="28"/>
      <c r="G4" s="37">
        <v>-3.5</v>
      </c>
      <c r="H4" s="37"/>
      <c r="I4" s="37"/>
      <c r="J4" s="37">
        <v>-25.1</v>
      </c>
      <c r="K4" s="37">
        <f>G4+D4+E4+F4</f>
        <v>56.5</v>
      </c>
      <c r="L4" s="27"/>
      <c r="M4" s="37"/>
      <c r="N4" s="37">
        <f>-(J4-G4)</f>
        <v>21.6</v>
      </c>
      <c r="O4" s="37"/>
      <c r="P4" s="37">
        <v>1</v>
      </c>
    </row>
    <row r="5" ht="20.05" customHeight="1">
      <c r="B5" s="31"/>
      <c r="C5" s="14">
        <v>629.5</v>
      </c>
      <c r="D5" s="35">
        <v>296</v>
      </c>
      <c r="E5" s="35">
        <v>-344.5</v>
      </c>
      <c r="F5" s="15"/>
      <c r="G5" s="35">
        <v>-4.9</v>
      </c>
      <c r="H5" s="35"/>
      <c r="I5" s="35"/>
      <c r="J5" s="35">
        <v>-25.5</v>
      </c>
      <c r="K5" s="35">
        <f>G5+D5+E5+F5</f>
        <v>-53.4</v>
      </c>
      <c r="L5" s="21"/>
      <c r="M5" s="35"/>
      <c r="N5" s="35">
        <f>-(J5-G5)+N4</f>
        <v>42.2</v>
      </c>
      <c r="O5" s="35"/>
      <c r="P5" s="35">
        <f>1+P4</f>
        <v>2</v>
      </c>
    </row>
    <row r="6" ht="20.05" customHeight="1">
      <c r="B6" s="31"/>
      <c r="C6" s="14">
        <v>625</v>
      </c>
      <c r="D6" s="35">
        <v>292.4</v>
      </c>
      <c r="E6" s="35">
        <v>-331.1</v>
      </c>
      <c r="F6" s="15"/>
      <c r="G6" s="35">
        <v>-3.1</v>
      </c>
      <c r="H6" s="35"/>
      <c r="I6" s="35"/>
      <c r="J6" s="35">
        <v>-26.4</v>
      </c>
      <c r="K6" s="35">
        <f>G6+D6+E6+F6</f>
        <v>-41.8</v>
      </c>
      <c r="L6" s="21"/>
      <c r="M6" s="35"/>
      <c r="N6" s="35">
        <f>-(J6-G6)+N5</f>
        <v>65.5</v>
      </c>
      <c r="O6" s="35"/>
      <c r="P6" s="35">
        <f>1+P5</f>
        <v>3</v>
      </c>
    </row>
    <row r="7" ht="20.05" customHeight="1">
      <c r="B7" s="31"/>
      <c r="C7" s="14">
        <v>662.4</v>
      </c>
      <c r="D7" s="35">
        <v>325.5</v>
      </c>
      <c r="E7" s="35">
        <v>-244.2</v>
      </c>
      <c r="F7" s="15"/>
      <c r="G7" s="35">
        <v>-3.4</v>
      </c>
      <c r="H7" s="35"/>
      <c r="I7" s="35"/>
      <c r="J7" s="35">
        <v>-27.6</v>
      </c>
      <c r="K7" s="35">
        <f>G7+D7+E7+F7</f>
        <v>77.90000000000001</v>
      </c>
      <c r="L7" s="21"/>
      <c r="M7" s="35"/>
      <c r="N7" s="35">
        <f>-(J7-G7)+N6</f>
        <v>89.7</v>
      </c>
      <c r="O7" s="35"/>
      <c r="P7" s="35">
        <f>1+P6</f>
        <v>4</v>
      </c>
    </row>
    <row r="8" ht="20.05" customHeight="1">
      <c r="B8" s="33">
        <v>2016</v>
      </c>
      <c r="C8" s="14">
        <v>644.8</v>
      </c>
      <c r="D8" s="35">
        <v>372.8</v>
      </c>
      <c r="E8" s="35">
        <v>-150.1</v>
      </c>
      <c r="F8" s="15"/>
      <c r="G8" s="35">
        <v>-2.9</v>
      </c>
      <c r="H8" s="35"/>
      <c r="I8" s="35"/>
      <c r="J8" s="35">
        <v>-26.5</v>
      </c>
      <c r="K8" s="35">
        <f>G8+D8+E8+F8</f>
        <v>219.8</v>
      </c>
      <c r="L8" s="35">
        <f>AVERAGE(K5:K8)</f>
        <v>50.625</v>
      </c>
      <c r="M8" s="35"/>
      <c r="N8" s="35">
        <f>-(J8-F8-G8)+N7</f>
        <v>113.3</v>
      </c>
      <c r="O8" s="35"/>
      <c r="P8" s="35">
        <f>1+P7</f>
        <v>5</v>
      </c>
    </row>
    <row r="9" ht="20.05" customHeight="1">
      <c r="B9" s="31"/>
      <c r="C9" s="14">
        <v>672.8</v>
      </c>
      <c r="D9" s="35">
        <v>259.6</v>
      </c>
      <c r="E9" s="35">
        <v>-164.2</v>
      </c>
      <c r="F9" s="15"/>
      <c r="G9" s="35">
        <v>-3.7</v>
      </c>
      <c r="H9" s="35"/>
      <c r="I9" s="35"/>
      <c r="J9" s="35">
        <v>-157.2</v>
      </c>
      <c r="K9" s="35">
        <f>G9+D9+E9+F9</f>
        <v>91.7</v>
      </c>
      <c r="L9" s="35">
        <f>AVERAGE(K6:K9)</f>
        <v>86.90000000000001</v>
      </c>
      <c r="M9" s="35"/>
      <c r="N9" s="35">
        <f>-(J9-F9-G9)+N8</f>
        <v>266.8</v>
      </c>
      <c r="O9" s="35"/>
      <c r="P9" s="35">
        <f>1+P8</f>
        <v>6</v>
      </c>
    </row>
    <row r="10" ht="20.05" customHeight="1">
      <c r="B10" s="31"/>
      <c r="C10" s="14">
        <v>674.5</v>
      </c>
      <c r="D10" s="35">
        <v>410.9</v>
      </c>
      <c r="E10" s="35">
        <v>-155.9</v>
      </c>
      <c r="F10" s="15"/>
      <c r="G10" s="35">
        <v>-3.7</v>
      </c>
      <c r="H10" s="35"/>
      <c r="I10" s="35"/>
      <c r="J10" s="35">
        <v>-280.5</v>
      </c>
      <c r="K10" s="35">
        <f>G10+D10+E10+F10</f>
        <v>251.3</v>
      </c>
      <c r="L10" s="35">
        <f>AVERAGE(K7:K10)</f>
        <v>160.175</v>
      </c>
      <c r="M10" s="35"/>
      <c r="N10" s="35">
        <f>-(J10-F10-G10)+N9</f>
        <v>543.6</v>
      </c>
      <c r="O10" s="35"/>
      <c r="P10" s="35">
        <f>1+P9</f>
        <v>7</v>
      </c>
    </row>
    <row r="11" ht="20.05" customHeight="1">
      <c r="B11" s="31"/>
      <c r="C11" s="14">
        <v>868.6</v>
      </c>
      <c r="D11" s="35">
        <v>517.4</v>
      </c>
      <c r="E11" s="35">
        <v>-274.4</v>
      </c>
      <c r="F11" s="15"/>
      <c r="G11" s="35">
        <v>-2.7</v>
      </c>
      <c r="H11" s="35"/>
      <c r="I11" s="35"/>
      <c r="J11" s="35">
        <v>-126.7</v>
      </c>
      <c r="K11" s="35">
        <f>G11+D11+E11+F11</f>
        <v>240.3</v>
      </c>
      <c r="L11" s="35">
        <f>AVERAGE(K8:K11)</f>
        <v>200.775</v>
      </c>
      <c r="M11" s="35"/>
      <c r="N11" s="35">
        <f>-(J11-F11-G11)+N10</f>
        <v>667.6</v>
      </c>
      <c r="O11" s="35"/>
      <c r="P11" s="35">
        <f>1+P10</f>
        <v>8</v>
      </c>
    </row>
    <row r="12" ht="20.05" customHeight="1">
      <c r="B12" s="33">
        <v>2017</v>
      </c>
      <c r="C12" s="14">
        <v>757.1</v>
      </c>
      <c r="D12" s="35">
        <v>351.6</v>
      </c>
      <c r="E12" s="35">
        <v>-229</v>
      </c>
      <c r="F12" s="15"/>
      <c r="G12" s="35">
        <v>-4.1</v>
      </c>
      <c r="H12" s="35"/>
      <c r="I12" s="35"/>
      <c r="J12" s="35">
        <v>-13.3</v>
      </c>
      <c r="K12" s="35">
        <f>G12+D12+E12+F12</f>
        <v>118.5</v>
      </c>
      <c r="L12" s="35">
        <f>AVERAGE(K9:K12)</f>
        <v>175.45</v>
      </c>
      <c r="M12" s="35"/>
      <c r="N12" s="35">
        <f>-(J12-F12-G12)+N11</f>
        <v>676.8</v>
      </c>
      <c r="O12" s="35"/>
      <c r="P12" s="35">
        <f>1+P11</f>
        <v>9</v>
      </c>
    </row>
    <row r="13" ht="20.05" customHeight="1">
      <c r="B13" s="31"/>
      <c r="C13" s="14">
        <v>733.4</v>
      </c>
      <c r="D13" s="35">
        <v>327.1</v>
      </c>
      <c r="E13" s="35">
        <v>-151.6</v>
      </c>
      <c r="F13" s="15"/>
      <c r="G13" s="35">
        <v>-3.6</v>
      </c>
      <c r="H13" s="35"/>
      <c r="I13" s="35"/>
      <c r="J13" s="35">
        <v>-300</v>
      </c>
      <c r="K13" s="35">
        <f>G13+D13+E13+F13</f>
        <v>171.9</v>
      </c>
      <c r="L13" s="35">
        <f>AVERAGE(K10:K13)</f>
        <v>195.5</v>
      </c>
      <c r="M13" s="35"/>
      <c r="N13" s="35">
        <f>-(J13-F13-G13)+N12</f>
        <v>973.2</v>
      </c>
      <c r="O13" s="35"/>
      <c r="P13" s="35">
        <f>1+P12</f>
        <v>10</v>
      </c>
    </row>
    <row r="14" ht="20.05" customHeight="1">
      <c r="B14" s="31"/>
      <c r="C14" s="14">
        <v>1041.3</v>
      </c>
      <c r="D14" s="35">
        <v>409.3</v>
      </c>
      <c r="E14" s="35">
        <v>-257.3</v>
      </c>
      <c r="F14" s="15"/>
      <c r="G14" s="35">
        <v>-3.9</v>
      </c>
      <c r="H14" s="35"/>
      <c r="I14" s="35"/>
      <c r="J14" s="35">
        <v>-18.4</v>
      </c>
      <c r="K14" s="35">
        <f>G14+D14+E14+F14</f>
        <v>148.1</v>
      </c>
      <c r="L14" s="35">
        <f>AVERAGE(K11:K14)</f>
        <v>169.7</v>
      </c>
      <c r="M14" s="35"/>
      <c r="N14" s="35">
        <f>-(J14-F14-G14)+N13</f>
        <v>987.7</v>
      </c>
      <c r="O14" s="35"/>
      <c r="P14" s="35">
        <f>1+P13</f>
        <v>11</v>
      </c>
    </row>
    <row r="15" ht="20.05" customHeight="1">
      <c r="B15" s="31"/>
      <c r="C15" s="14">
        <v>757.8</v>
      </c>
      <c r="D15" s="35">
        <v>459.2</v>
      </c>
      <c r="E15" s="35">
        <v>-332.7</v>
      </c>
      <c r="F15" s="15"/>
      <c r="G15" s="35">
        <v>-13.8</v>
      </c>
      <c r="H15" s="35"/>
      <c r="I15" s="35"/>
      <c r="J15" s="35">
        <v>-26</v>
      </c>
      <c r="K15" s="35">
        <f>G15+D15+E15+F15</f>
        <v>112.7</v>
      </c>
      <c r="L15" s="35">
        <f>AVERAGE(K12:K15)</f>
        <v>137.8</v>
      </c>
      <c r="M15" s="35"/>
      <c r="N15" s="35">
        <f>-(J15-F15-G15)+N14</f>
        <v>999.9</v>
      </c>
      <c r="O15" s="35"/>
      <c r="P15" s="35">
        <f>1+P14</f>
        <v>12</v>
      </c>
    </row>
    <row r="16" ht="20.05" customHeight="1">
      <c r="B16" s="33">
        <v>2018</v>
      </c>
      <c r="C16" s="14">
        <v>826.5</v>
      </c>
      <c r="D16" s="35">
        <v>518.7</v>
      </c>
      <c r="E16" s="35">
        <v>-378.9</v>
      </c>
      <c r="F16" s="15">
        <v>-8.699999999999999</v>
      </c>
      <c r="G16" s="35">
        <v>-8.1</v>
      </c>
      <c r="H16" s="35"/>
      <c r="I16" s="35"/>
      <c r="J16" s="35">
        <v>-160.2</v>
      </c>
      <c r="K16" s="35">
        <f>G16+D16+E16+F16</f>
        <v>123</v>
      </c>
      <c r="L16" s="35">
        <f>AVERAGE(K13:K16)</f>
        <v>138.925</v>
      </c>
      <c r="M16" s="35"/>
      <c r="N16" s="35">
        <f>-(J16-F16-G16)+N15</f>
        <v>1143.3</v>
      </c>
      <c r="O16" s="35"/>
      <c r="P16" s="35">
        <f>1+P15</f>
        <v>13</v>
      </c>
    </row>
    <row r="17" ht="20.05" customHeight="1">
      <c r="B17" s="31"/>
      <c r="C17" s="14">
        <v>855.3</v>
      </c>
      <c r="D17" s="35">
        <v>397.3</v>
      </c>
      <c r="E17" s="35">
        <v>-112.6</v>
      </c>
      <c r="F17" s="15">
        <v>-9.5</v>
      </c>
      <c r="G17" s="35">
        <v>-19.8</v>
      </c>
      <c r="H17" s="35"/>
      <c r="I17" s="35"/>
      <c r="J17" s="35">
        <v>-564.8</v>
      </c>
      <c r="K17" s="35">
        <f>G17+D17+E17+F17</f>
        <v>255.4</v>
      </c>
      <c r="L17" s="35">
        <f>AVERAGE(K14:K17)</f>
        <v>159.8</v>
      </c>
      <c r="M17" s="35"/>
      <c r="N17" s="35">
        <f>-(J17-F17-G17)+N16</f>
        <v>1678.8</v>
      </c>
      <c r="O17" s="35"/>
      <c r="P17" s="35">
        <f>1+P16</f>
        <v>14</v>
      </c>
    </row>
    <row r="18" ht="20.05" customHeight="1">
      <c r="B18" s="31"/>
      <c r="C18" s="14">
        <v>848.5</v>
      </c>
      <c r="D18" s="35">
        <v>351</v>
      </c>
      <c r="E18" s="35">
        <v>-315.2</v>
      </c>
      <c r="F18" s="15">
        <v>-10.5</v>
      </c>
      <c r="G18" s="35">
        <v>-3.6</v>
      </c>
      <c r="H18" s="35"/>
      <c r="I18" s="35"/>
      <c r="J18" s="35">
        <v>-33.1</v>
      </c>
      <c r="K18" s="35">
        <f>G18+D18+E18+F18</f>
        <v>21.7</v>
      </c>
      <c r="L18" s="35">
        <f>AVERAGE(K15:K18)</f>
        <v>128.2</v>
      </c>
      <c r="M18" s="35"/>
      <c r="N18" s="35">
        <f>-(J18-F18-G18)+N17</f>
        <v>1697.8</v>
      </c>
      <c r="O18" s="35"/>
      <c r="P18" s="35">
        <f>1+P17</f>
        <v>15</v>
      </c>
    </row>
    <row r="19" ht="20.05" customHeight="1">
      <c r="B19" s="31"/>
      <c r="C19" s="14">
        <v>1003.6</v>
      </c>
      <c r="D19" s="35">
        <v>454.6</v>
      </c>
      <c r="E19" s="35">
        <v>-309.3</v>
      </c>
      <c r="F19" s="15">
        <v>-10.5</v>
      </c>
      <c r="G19" s="35">
        <v>-4.3</v>
      </c>
      <c r="H19" s="35"/>
      <c r="I19" s="35"/>
      <c r="J19" s="35">
        <v>-13.9</v>
      </c>
      <c r="K19" s="35">
        <f>G19+D19+E19+F19</f>
        <v>130.5</v>
      </c>
      <c r="L19" s="35">
        <f>AVERAGE(K16:K19)</f>
        <v>132.65</v>
      </c>
      <c r="M19" s="35"/>
      <c r="N19" s="35">
        <f>-(J19-F19-G19)+N18</f>
        <v>1696.9</v>
      </c>
      <c r="O19" s="35"/>
      <c r="P19" s="35">
        <f>1+P18</f>
        <v>16</v>
      </c>
    </row>
    <row r="20" ht="20.05" customHeight="1">
      <c r="B20" s="33">
        <v>2019</v>
      </c>
      <c r="C20" s="14">
        <v>949.5</v>
      </c>
      <c r="D20" s="35">
        <v>398</v>
      </c>
      <c r="E20" s="35">
        <v>-365</v>
      </c>
      <c r="F20" s="15">
        <v>-10.3</v>
      </c>
      <c r="G20" s="35">
        <v>-4</v>
      </c>
      <c r="H20" s="35"/>
      <c r="I20" s="35"/>
      <c r="J20" s="35">
        <v>-20</v>
      </c>
      <c r="K20" s="35">
        <f>G20+D20+E20+F20</f>
        <v>18.7</v>
      </c>
      <c r="L20" s="35">
        <f>AVERAGE(K17:K20)</f>
        <v>106.575</v>
      </c>
      <c r="M20" s="35"/>
      <c r="N20" s="35">
        <f>-(J20-F20-G20)+N19</f>
        <v>1702.6</v>
      </c>
      <c r="O20" s="35"/>
      <c r="P20" s="35">
        <f>1+P19</f>
        <v>17</v>
      </c>
    </row>
    <row r="21" ht="20.05" customHeight="1">
      <c r="B21" s="31"/>
      <c r="C21" s="14">
        <v>766.8</v>
      </c>
      <c r="D21" s="35">
        <v>256</v>
      </c>
      <c r="E21" s="35">
        <v>-319</v>
      </c>
      <c r="F21" s="15">
        <v>-10.7</v>
      </c>
      <c r="G21" s="35">
        <v>-9</v>
      </c>
      <c r="H21" s="35"/>
      <c r="I21" s="35"/>
      <c r="J21" s="35">
        <v>-254</v>
      </c>
      <c r="K21" s="35">
        <f>G21+D21+E21+F21</f>
        <v>-82.7</v>
      </c>
      <c r="L21" s="35">
        <f>AVERAGE(K18:K21)</f>
        <v>22.05</v>
      </c>
      <c r="M21" s="35"/>
      <c r="N21" s="35">
        <f>-(J21-F21-G21)+N20</f>
        <v>1936.9</v>
      </c>
      <c r="O21" s="35"/>
      <c r="P21" s="35">
        <f>1+P20</f>
        <v>18</v>
      </c>
    </row>
    <row r="22" ht="20.05" customHeight="1">
      <c r="B22" s="31"/>
      <c r="C22" s="14">
        <v>975.9</v>
      </c>
      <c r="D22" s="35">
        <v>495</v>
      </c>
      <c r="E22" s="35">
        <v>-406</v>
      </c>
      <c r="F22" s="15">
        <v>-10.5</v>
      </c>
      <c r="G22" s="35">
        <v>-3</v>
      </c>
      <c r="H22" s="35"/>
      <c r="I22" s="35"/>
      <c r="J22" s="35">
        <v>-110</v>
      </c>
      <c r="K22" s="35">
        <f>G22+D22+E22+F22</f>
        <v>75.5</v>
      </c>
      <c r="L22" s="35">
        <f>AVERAGE(K19:K22)</f>
        <v>35.5</v>
      </c>
      <c r="M22" s="35"/>
      <c r="N22" s="35">
        <f>-(J22-F22-G22)+N21</f>
        <v>2033.4</v>
      </c>
      <c r="O22" s="35"/>
      <c r="P22" s="35">
        <f>1+P21</f>
        <v>19</v>
      </c>
    </row>
    <row r="23" ht="20.05" customHeight="1">
      <c r="B23" s="31"/>
      <c r="C23" s="14">
        <v>954.2</v>
      </c>
      <c r="D23" s="35">
        <v>609</v>
      </c>
      <c r="E23" s="35">
        <v>-659</v>
      </c>
      <c r="F23" s="15">
        <v>-15.3</v>
      </c>
      <c r="G23" s="35">
        <v>-18.8</v>
      </c>
      <c r="H23" s="35"/>
      <c r="I23" s="35"/>
      <c r="J23" s="35">
        <v>119</v>
      </c>
      <c r="K23" s="35">
        <f>G23+D23+E23+F23</f>
        <v>-84.09999999999999</v>
      </c>
      <c r="L23" s="35">
        <f>AVERAGE(K20:K23)</f>
        <v>-18.15</v>
      </c>
      <c r="M23" s="35"/>
      <c r="N23" s="35">
        <f>-(J23-F23-G23)+N22</f>
        <v>1880.3</v>
      </c>
      <c r="O23" s="35"/>
      <c r="P23" s="35">
        <f>1+P22</f>
        <v>20</v>
      </c>
    </row>
    <row r="24" ht="20.05" customHeight="1">
      <c r="B24" s="33">
        <v>2020</v>
      </c>
      <c r="C24" s="14">
        <v>949.5</v>
      </c>
      <c r="D24" s="35">
        <v>368.8</v>
      </c>
      <c r="E24" s="35">
        <v>-329.2</v>
      </c>
      <c r="F24" s="15">
        <v>-19</v>
      </c>
      <c r="G24" s="35">
        <v>-1.69</v>
      </c>
      <c r="H24" s="35"/>
      <c r="I24" s="35"/>
      <c r="J24" s="35">
        <v>-142.8</v>
      </c>
      <c r="K24" s="35">
        <f>G24+D24+E24+F24</f>
        <v>18.91</v>
      </c>
      <c r="L24" s="35">
        <f>AVERAGE(K21:K24)</f>
        <v>-18.0975</v>
      </c>
      <c r="M24" s="35"/>
      <c r="N24" s="35">
        <f>-(J24-F24-G24)+N23</f>
        <v>2002.41</v>
      </c>
      <c r="O24" s="35"/>
      <c r="P24" s="35">
        <f>1+P23</f>
        <v>21</v>
      </c>
    </row>
    <row r="25" ht="20.05" customHeight="1">
      <c r="B25" s="31"/>
      <c r="C25" s="14">
        <v>916.1</v>
      </c>
      <c r="D25" s="35">
        <v>686.2</v>
      </c>
      <c r="E25" s="35">
        <v>-396.8</v>
      </c>
      <c r="F25" s="15">
        <v>-18.1</v>
      </c>
      <c r="G25" s="35">
        <v>-38.31</v>
      </c>
      <c r="H25" s="35"/>
      <c r="I25" s="35"/>
      <c r="J25" s="35">
        <v>210.8</v>
      </c>
      <c r="K25" s="35">
        <f>G25+D25+E25+F25</f>
        <v>232.99</v>
      </c>
      <c r="L25" s="35">
        <f>AVERAGE(K22:K25)</f>
        <v>60.825</v>
      </c>
      <c r="M25" s="35"/>
      <c r="N25" s="35">
        <f>-(J25-F25-G25)+N24</f>
        <v>1735.2</v>
      </c>
      <c r="O25" s="35"/>
      <c r="P25" s="35">
        <f>1+P24</f>
        <v>22</v>
      </c>
    </row>
    <row r="26" ht="20.05" customHeight="1">
      <c r="B26" s="31"/>
      <c r="C26" s="14">
        <v>998</v>
      </c>
      <c r="D26" s="35">
        <f>1668-D25-D24</f>
        <v>613</v>
      </c>
      <c r="E26" s="35">
        <f>-1379-E25-E24</f>
        <v>-653</v>
      </c>
      <c r="F26" s="15">
        <v>-18.9</v>
      </c>
      <c r="G26" s="35">
        <f>-69-G25-G24</f>
        <v>-29</v>
      </c>
      <c r="H26" s="35"/>
      <c r="I26" s="35"/>
      <c r="J26" s="35">
        <f>-222-J25-J24</f>
        <v>-290</v>
      </c>
      <c r="K26" s="35">
        <f>G26+D26+E26+F26</f>
        <v>-87.90000000000001</v>
      </c>
      <c r="L26" s="35">
        <f>AVERAGE(K23:K26)</f>
        <v>19.975</v>
      </c>
      <c r="M26" s="35"/>
      <c r="N26" s="35">
        <f>-(J26-F26-G26)+N25</f>
        <v>1977.3</v>
      </c>
      <c r="O26" s="35"/>
      <c r="P26" s="35">
        <f>1+P25</f>
        <v>23</v>
      </c>
    </row>
    <row r="27" ht="20.05" customHeight="1">
      <c r="B27" s="31"/>
      <c r="C27" s="14">
        <v>1094.8</v>
      </c>
      <c r="D27" s="35">
        <f>1854.9-SUM(D24:D26)</f>
        <v>186.9</v>
      </c>
      <c r="E27" s="35">
        <f>-1763.8-SUM(E24:E26)</f>
        <v>-384.8</v>
      </c>
      <c r="F27" s="15">
        <v>-30.3</v>
      </c>
      <c r="G27" s="35">
        <f>-91.1-SUM(G24:G26)</f>
        <v>-22.1</v>
      </c>
      <c r="H27" s="35"/>
      <c r="I27" s="35"/>
      <c r="J27" s="35">
        <f>-30.2-SUM(J24:J26)</f>
        <v>191.8</v>
      </c>
      <c r="K27" s="35">
        <f>G27+D27+E27+F27</f>
        <v>-250.3</v>
      </c>
      <c r="L27" s="35">
        <f>AVERAGE(K24:K27)</f>
        <v>-21.575</v>
      </c>
      <c r="M27" s="35"/>
      <c r="N27" s="35">
        <f>-(J27-F27-G27)+N26</f>
        <v>1733.1</v>
      </c>
      <c r="O27" s="35"/>
      <c r="P27" s="35">
        <f>1+P26</f>
        <v>24</v>
      </c>
    </row>
    <row r="28" ht="20.05" customHeight="1">
      <c r="B28" s="33">
        <v>2021</v>
      </c>
      <c r="C28" s="14">
        <v>1055</v>
      </c>
      <c r="D28" s="15">
        <v>573.1</v>
      </c>
      <c r="E28" s="15">
        <v>-722.3</v>
      </c>
      <c r="F28" s="15">
        <f>86-23</f>
        <v>63</v>
      </c>
      <c r="G28" s="15">
        <v>-26.2</v>
      </c>
      <c r="H28" s="15">
        <f>1036.7-F28-G28</f>
        <v>999.9</v>
      </c>
      <c r="I28" s="15"/>
      <c r="J28" s="15">
        <v>1036.7</v>
      </c>
      <c r="K28" s="15">
        <f>G28+D28+E28+F28</f>
        <v>-112.4</v>
      </c>
      <c r="L28" s="15">
        <f>AVERAGE(K25:K28)</f>
        <v>-54.4025</v>
      </c>
      <c r="M28" s="15"/>
      <c r="N28" s="15">
        <f>-(H28+I28)+N27</f>
        <v>733.2</v>
      </c>
      <c r="O28" s="15"/>
      <c r="P28" s="35">
        <f>1+P27</f>
        <v>25</v>
      </c>
    </row>
    <row r="29" ht="20.05" customHeight="1">
      <c r="B29" s="31"/>
      <c r="C29" s="14">
        <f>2037.5-C28</f>
        <v>982.5</v>
      </c>
      <c r="D29" s="15">
        <f>965.9-D28</f>
        <v>392.8</v>
      </c>
      <c r="E29" s="15">
        <f>-1279.9-E28</f>
        <v>-557.6</v>
      </c>
      <c r="F29" s="15">
        <f>86.4-60.667-F28</f>
        <v>-37.267</v>
      </c>
      <c r="G29" s="15">
        <f>-25.6-82.4-G28</f>
        <v>-81.8</v>
      </c>
      <c r="H29" s="15">
        <f>235.1-F29-F28-G29-G28-H28</f>
        <v>-682.533</v>
      </c>
      <c r="I29" s="15"/>
      <c r="J29" s="15">
        <f>235.112-J28</f>
        <v>-801.588</v>
      </c>
      <c r="K29" s="15">
        <f>G29+D29+E29+F29</f>
        <v>-283.867</v>
      </c>
      <c r="L29" s="15">
        <f>AVERAGE(K26:K29)</f>
        <v>-183.61675</v>
      </c>
      <c r="M29" s="15"/>
      <c r="N29" s="15">
        <f>-(H29+I29)+N28</f>
        <v>1415.733</v>
      </c>
      <c r="O29" s="15"/>
      <c r="P29" s="35">
        <f>1+P28</f>
        <v>26</v>
      </c>
    </row>
    <row r="30" ht="20.05" customHeight="1">
      <c r="B30" s="31"/>
      <c r="C30" s="14">
        <f>3144.7-SUM(C28:C29)</f>
        <v>1107.2</v>
      </c>
      <c r="D30" s="15">
        <f>1339.5-SUM(D28:D29)</f>
        <v>373.6</v>
      </c>
      <c r="E30" s="15">
        <f>-2078-SUM(E28:E29)</f>
        <v>-798.1</v>
      </c>
      <c r="F30" s="15">
        <f>-90.6+86.4-SUM(F28:F29)</f>
        <v>-29.933</v>
      </c>
      <c r="G30" s="15">
        <f>-108.2-SUM(G28:G29)</f>
        <v>-0.2</v>
      </c>
      <c r="H30" s="15">
        <f>804.916-F30-F29-F28-G30-G29-G28-H29-H28-I30</f>
        <v>882.5359999999999</v>
      </c>
      <c r="I30" s="15">
        <f>-282.587</f>
        <v>-282.587</v>
      </c>
      <c r="J30" s="15">
        <f>804.9-SUM(J28:J29)</f>
        <v>569.788</v>
      </c>
      <c r="K30" s="15">
        <f>G30+D30+E30+F30</f>
        <v>-454.633</v>
      </c>
      <c r="L30" s="15">
        <f>AVERAGE(K27:K30)</f>
        <v>-275.3</v>
      </c>
      <c r="M30" s="15"/>
      <c r="N30" s="15">
        <f>-(H30+I30)+N29</f>
        <v>815.784</v>
      </c>
      <c r="O30" s="15"/>
      <c r="P30" s="35">
        <f>1+P29</f>
        <v>27</v>
      </c>
    </row>
    <row r="31" ht="20.05" customHeight="1">
      <c r="B31" s="31"/>
      <c r="C31" s="14">
        <f>4138-SUM(C28:C30)</f>
        <v>993.3</v>
      </c>
      <c r="D31" s="15">
        <f>1969-SUM(D28:D30)</f>
        <v>629.5</v>
      </c>
      <c r="E31" s="15">
        <f>-3143-SUM(E28:E30)</f>
        <v>-1065</v>
      </c>
      <c r="F31" s="15">
        <f>(210-137)-F30-F29-F28</f>
        <v>77.2</v>
      </c>
      <c r="G31" s="15">
        <f>-190-G30-G29-G28</f>
        <v>-81.8</v>
      </c>
      <c r="H31" s="15">
        <f>3200-1700-H30-H29-H28</f>
        <v>300.097</v>
      </c>
      <c r="I31" s="15">
        <v>0</v>
      </c>
      <c r="J31" s="15">
        <f>1084.5-SUM(J28:J30)</f>
        <v>279.6</v>
      </c>
      <c r="K31" s="15">
        <f>G31+D31+E31+F31</f>
        <v>-440.1</v>
      </c>
      <c r="L31" s="15">
        <f>AVERAGE(K28:K31)</f>
        <v>-322.75</v>
      </c>
      <c r="M31" s="15">
        <f>L31</f>
        <v>-322.75</v>
      </c>
      <c r="N31" s="15">
        <f>-(H31+I31)+N30</f>
        <v>515.687</v>
      </c>
      <c r="O31" s="15">
        <f>N31</f>
        <v>515.687</v>
      </c>
      <c r="P31" s="35">
        <f>1+P30</f>
        <v>28</v>
      </c>
    </row>
    <row r="32" ht="20.05" customHeight="1">
      <c r="B32" s="33">
        <v>2022</v>
      </c>
      <c r="C32" s="14"/>
      <c r="D32" s="15"/>
      <c r="E32" s="15"/>
      <c r="F32" s="15"/>
      <c r="G32" s="15"/>
      <c r="H32" s="15"/>
      <c r="I32" s="15"/>
      <c r="J32" s="15"/>
      <c r="K32" s="15"/>
      <c r="L32" s="34"/>
      <c r="M32" s="15">
        <f>SUM('Model'!F9:F11)</f>
        <v>84.497213250778</v>
      </c>
      <c r="N32" s="34"/>
      <c r="O32" s="15">
        <f>'Model'!F34</f>
        <v>713.629606867296</v>
      </c>
      <c r="P32" s="15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9531" style="38" customWidth="1"/>
    <col min="2" max="2" width="6.9375" style="38" customWidth="1"/>
    <col min="3" max="11" width="10" style="38" customWidth="1"/>
    <col min="12" max="16384" width="16.3516" style="38" customWidth="1"/>
  </cols>
  <sheetData>
    <row r="1" ht="39.4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52</v>
      </c>
      <c r="D3" t="s" s="6">
        <v>53</v>
      </c>
      <c r="E3" t="s" s="6">
        <v>24</v>
      </c>
      <c r="F3" t="s" s="6">
        <v>25</v>
      </c>
      <c r="G3" t="s" s="6">
        <v>11</v>
      </c>
      <c r="H3" t="s" s="6">
        <v>27</v>
      </c>
      <c r="I3" t="s" s="6">
        <v>28</v>
      </c>
      <c r="J3" t="s" s="6">
        <v>54</v>
      </c>
      <c r="K3" t="s" s="6">
        <v>37</v>
      </c>
    </row>
    <row r="4" ht="20.25" customHeight="1">
      <c r="B4" s="25">
        <v>2015</v>
      </c>
      <c r="C4" s="26">
        <v>396.6</v>
      </c>
      <c r="D4" s="28">
        <v>3954.9</v>
      </c>
      <c r="E4" s="28">
        <f>D4-C4</f>
        <v>3558.3</v>
      </c>
      <c r="F4" s="28"/>
      <c r="G4" s="28">
        <v>775</v>
      </c>
      <c r="H4" s="28">
        <v>3179.9</v>
      </c>
      <c r="I4" s="28">
        <f>G4+H4-C4-E4</f>
        <v>0</v>
      </c>
      <c r="J4" s="28">
        <f>C4-G4</f>
        <v>-378.4</v>
      </c>
      <c r="K4" s="28"/>
    </row>
    <row r="5" ht="20.05" customHeight="1">
      <c r="B5" s="31"/>
      <c r="C5" s="14">
        <v>328.4</v>
      </c>
      <c r="D5" s="15">
        <v>4136.2</v>
      </c>
      <c r="E5" s="15">
        <f>D5-C5</f>
        <v>3807.8</v>
      </c>
      <c r="F5" s="15"/>
      <c r="G5" s="15">
        <v>785</v>
      </c>
      <c r="H5" s="15">
        <v>3351.2</v>
      </c>
      <c r="I5" s="15">
        <f>G5+H5-C5-E5</f>
        <v>0</v>
      </c>
      <c r="J5" s="15">
        <f>C5-G5</f>
        <v>-456.6</v>
      </c>
      <c r="K5" s="15"/>
    </row>
    <row r="6" ht="20.05" customHeight="1">
      <c r="B6" s="31"/>
      <c r="C6" s="14">
        <v>277.9</v>
      </c>
      <c r="D6" s="15">
        <v>4315.9</v>
      </c>
      <c r="E6" s="15">
        <f>D6-C6</f>
        <v>4038</v>
      </c>
      <c r="F6" s="15"/>
      <c r="G6" s="15">
        <v>817.2</v>
      </c>
      <c r="H6" s="15">
        <v>3498.7</v>
      </c>
      <c r="I6" s="15">
        <f>G6+H6-C6-E6</f>
        <v>0</v>
      </c>
      <c r="J6" s="15">
        <f>C6-G6</f>
        <v>-539.3</v>
      </c>
      <c r="K6" s="15"/>
    </row>
    <row r="7" ht="20.05" customHeight="1">
      <c r="B7" s="31"/>
      <c r="C7" s="14">
        <v>325.4</v>
      </c>
      <c r="D7" s="15">
        <v>4438.1</v>
      </c>
      <c r="E7" s="15">
        <f>D7-C7</f>
        <v>4112.7</v>
      </c>
      <c r="F7" s="15"/>
      <c r="G7" s="15">
        <v>770.8</v>
      </c>
      <c r="H7" s="15">
        <v>3667.3</v>
      </c>
      <c r="I7" s="15">
        <f>G7+H7-C7-E7</f>
        <v>0</v>
      </c>
      <c r="J7" s="15">
        <f>C7-G7</f>
        <v>-445.4</v>
      </c>
      <c r="K7" s="15"/>
    </row>
    <row r="8" ht="20.05" customHeight="1">
      <c r="B8" s="33">
        <v>2016</v>
      </c>
      <c r="C8" s="14">
        <v>514.6</v>
      </c>
      <c r="D8" s="15">
        <v>4759.8</v>
      </c>
      <c r="E8" s="15">
        <f>D8-C8</f>
        <v>4245.2</v>
      </c>
      <c r="F8" s="15"/>
      <c r="G8" s="15">
        <v>904.6</v>
      </c>
      <c r="H8" s="15">
        <v>3855.3</v>
      </c>
      <c r="I8" s="15">
        <f>G8+H8-C8-E8</f>
        <v>0.1</v>
      </c>
      <c r="J8" s="15">
        <f>C8-G8</f>
        <v>-390</v>
      </c>
      <c r="K8" s="15"/>
    </row>
    <row r="9" ht="20.05" customHeight="1">
      <c r="B9" s="31"/>
      <c r="C9" s="14">
        <v>453.9</v>
      </c>
      <c r="D9" s="15">
        <v>4745.5</v>
      </c>
      <c r="E9" s="15">
        <f>D9-C9</f>
        <v>4291.6</v>
      </c>
      <c r="F9" s="15"/>
      <c r="G9" s="15">
        <v>812</v>
      </c>
      <c r="H9" s="15">
        <v>3933.5</v>
      </c>
      <c r="I9" s="15">
        <f>G9+H9-C9-E9</f>
        <v>0</v>
      </c>
      <c r="J9" s="15">
        <f>C9-G9</f>
        <v>-358.1</v>
      </c>
      <c r="K9" s="15"/>
    </row>
    <row r="10" ht="20.05" customHeight="1">
      <c r="B10" s="31"/>
      <c r="C10" s="14">
        <v>427.2</v>
      </c>
      <c r="D10" s="15">
        <v>4838.7</v>
      </c>
      <c r="E10" s="15">
        <f>D10-C10</f>
        <v>4411.5</v>
      </c>
      <c r="F10" s="15"/>
      <c r="G10" s="15">
        <v>964.2</v>
      </c>
      <c r="H10" s="15">
        <v>3874.5</v>
      </c>
      <c r="I10" s="15">
        <f>G10+H10-C10-E10</f>
        <v>0</v>
      </c>
      <c r="J10" s="15">
        <f>C10-G10</f>
        <v>-537</v>
      </c>
      <c r="K10" s="15"/>
    </row>
    <row r="11" ht="20.05" customHeight="1">
      <c r="B11" s="31"/>
      <c r="C11" s="14">
        <v>546.7</v>
      </c>
      <c r="D11" s="15">
        <v>5055.1</v>
      </c>
      <c r="E11" s="15">
        <f>D11-C11</f>
        <v>4508.4</v>
      </c>
      <c r="F11" s="15"/>
      <c r="G11" s="15">
        <v>1092</v>
      </c>
      <c r="H11" s="15">
        <v>3963.1</v>
      </c>
      <c r="I11" s="15">
        <f>G11+H11-C11-E11</f>
        <v>0</v>
      </c>
      <c r="J11" s="15">
        <f>C11-G11</f>
        <v>-545.3</v>
      </c>
      <c r="K11" s="15"/>
    </row>
    <row r="12" ht="20.05" customHeight="1">
      <c r="B12" s="33">
        <v>2017</v>
      </c>
      <c r="C12" s="14">
        <v>655.3</v>
      </c>
      <c r="D12" s="15">
        <v>5289.9</v>
      </c>
      <c r="E12" s="15">
        <f>D12-C12</f>
        <v>4634.6</v>
      </c>
      <c r="F12" s="15"/>
      <c r="G12" s="15">
        <v>1090.7</v>
      </c>
      <c r="H12" s="15">
        <v>4199.2</v>
      </c>
      <c r="I12" s="15">
        <f>G12+H12-C12-E12</f>
        <v>0</v>
      </c>
      <c r="J12" s="15">
        <f>C12-G12</f>
        <v>-435.4</v>
      </c>
      <c r="K12" s="15"/>
    </row>
    <row r="13" ht="20.05" customHeight="1">
      <c r="B13" s="31"/>
      <c r="C13" s="14">
        <v>531</v>
      </c>
      <c r="D13" s="15">
        <v>5292.7</v>
      </c>
      <c r="E13" s="15">
        <f>D13-C13</f>
        <v>4761.7</v>
      </c>
      <c r="F13" s="15"/>
      <c r="G13" s="15">
        <v>1125.7</v>
      </c>
      <c r="H13" s="15">
        <v>4166.9</v>
      </c>
      <c r="I13" s="15">
        <f>G13+H13-C13-E13</f>
        <v>-0.1</v>
      </c>
      <c r="J13" s="15">
        <f>C13-G13</f>
        <v>-594.7</v>
      </c>
      <c r="K13" s="15"/>
    </row>
    <row r="14" ht="20.05" customHeight="1">
      <c r="B14" s="31"/>
      <c r="C14" s="14">
        <v>665.2</v>
      </c>
      <c r="D14" s="15">
        <v>5541.1</v>
      </c>
      <c r="E14" s="15">
        <f>D14-C14</f>
        <v>4875.9</v>
      </c>
      <c r="F14" s="15"/>
      <c r="G14" s="15">
        <v>1128.2</v>
      </c>
      <c r="H14" s="15">
        <v>4412.9</v>
      </c>
      <c r="I14" s="15">
        <f>G14+H14-C14-E14</f>
        <v>0</v>
      </c>
      <c r="J14" s="15">
        <f>C14-G14</f>
        <v>-463</v>
      </c>
      <c r="K14" s="15"/>
    </row>
    <row r="15" ht="20.05" customHeight="1">
      <c r="B15" s="31"/>
      <c r="C15" s="14">
        <v>765.9</v>
      </c>
      <c r="D15" s="15">
        <v>5766.2</v>
      </c>
      <c r="E15" s="15">
        <f>D15-C15</f>
        <v>5000.3</v>
      </c>
      <c r="F15" s="15"/>
      <c r="G15" s="15">
        <v>1242</v>
      </c>
      <c r="H15" s="15">
        <v>4524.2</v>
      </c>
      <c r="I15" s="15">
        <f>G15+H15-C15-E15</f>
        <v>0</v>
      </c>
      <c r="J15" s="15">
        <f>C15-G15</f>
        <v>-476.1</v>
      </c>
      <c r="K15" s="15"/>
    </row>
    <row r="16" ht="20.05" customHeight="1">
      <c r="B16" s="33">
        <v>2018</v>
      </c>
      <c r="C16" s="14">
        <v>746.3</v>
      </c>
      <c r="D16" s="15">
        <v>6042.7</v>
      </c>
      <c r="E16" s="15">
        <f>D16-C16</f>
        <v>5296.4</v>
      </c>
      <c r="F16" s="15"/>
      <c r="G16" s="15">
        <v>1252.2</v>
      </c>
      <c r="H16" s="15">
        <v>4790.5</v>
      </c>
      <c r="I16" s="15">
        <f>G16+H16-C16-E16</f>
        <v>0</v>
      </c>
      <c r="J16" s="15">
        <f>C16-G16</f>
        <v>-505.9</v>
      </c>
      <c r="K16" s="15"/>
    </row>
    <row r="17" ht="20.05" customHeight="1">
      <c r="B17" s="31"/>
      <c r="C17" s="14">
        <v>465.4</v>
      </c>
      <c r="D17" s="15">
        <v>5920.4</v>
      </c>
      <c r="E17" s="15">
        <f>D17-C17</f>
        <v>5455</v>
      </c>
      <c r="F17" s="15"/>
      <c r="G17" s="15">
        <v>1403.2</v>
      </c>
      <c r="H17" s="15">
        <v>4517.2</v>
      </c>
      <c r="I17" s="15">
        <f>G17+H17-C17-E17</f>
        <v>0</v>
      </c>
      <c r="J17" s="15">
        <f>C17-G17</f>
        <v>-937.8</v>
      </c>
      <c r="K17" s="15"/>
    </row>
    <row r="18" ht="20.05" customHeight="1">
      <c r="B18" s="31"/>
      <c r="C18" s="14">
        <v>468.4</v>
      </c>
      <c r="D18" s="15">
        <v>6094.4</v>
      </c>
      <c r="E18" s="15">
        <f>D18-C18</f>
        <v>5626</v>
      </c>
      <c r="F18" s="15"/>
      <c r="G18" s="15">
        <v>1329.4</v>
      </c>
      <c r="H18" s="15">
        <v>4765</v>
      </c>
      <c r="I18" s="15">
        <f>G18+H18-C18-E18</f>
        <v>0</v>
      </c>
      <c r="J18" s="15">
        <f>C18-G18</f>
        <v>-861</v>
      </c>
      <c r="K18" s="15"/>
    </row>
    <row r="19" ht="20.05" customHeight="1">
      <c r="B19" s="31"/>
      <c r="C19" s="14">
        <v>600</v>
      </c>
      <c r="D19" s="15">
        <v>6023.5</v>
      </c>
      <c r="E19" s="15">
        <f>D19-C19</f>
        <v>5423.5</v>
      </c>
      <c r="F19" s="15"/>
      <c r="G19" s="15">
        <v>1272.9</v>
      </c>
      <c r="H19" s="15">
        <v>4751</v>
      </c>
      <c r="I19" s="15">
        <f>G19+H19-C19-E19</f>
        <v>0.4</v>
      </c>
      <c r="J19" s="15">
        <f>C19-G19</f>
        <v>-672.9</v>
      </c>
      <c r="K19" s="15"/>
    </row>
    <row r="20" ht="20.05" customHeight="1">
      <c r="B20" s="33">
        <v>2019</v>
      </c>
      <c r="C20" s="14">
        <v>613</v>
      </c>
      <c r="D20" s="15">
        <v>6152</v>
      </c>
      <c r="E20" s="15">
        <f>D20-C20</f>
        <v>5539</v>
      </c>
      <c r="F20" s="15"/>
      <c r="G20" s="15">
        <v>1145</v>
      </c>
      <c r="H20" s="15">
        <v>5007</v>
      </c>
      <c r="I20" s="15">
        <f>G20+H20-C20-E20</f>
        <v>0</v>
      </c>
      <c r="J20" s="15">
        <f>C20-G20</f>
        <v>-532</v>
      </c>
      <c r="K20" s="15"/>
    </row>
    <row r="21" ht="20.05" customHeight="1">
      <c r="B21" s="31"/>
      <c r="C21" s="14">
        <v>295</v>
      </c>
      <c r="D21" s="15">
        <v>6102</v>
      </c>
      <c r="E21" s="15">
        <f>D21-C21</f>
        <v>5807</v>
      </c>
      <c r="F21" s="15"/>
      <c r="G21" s="15">
        <v>1620</v>
      </c>
      <c r="H21" s="15">
        <v>4482</v>
      </c>
      <c r="I21" s="15">
        <f>G21+H21-C21-E21</f>
        <v>0</v>
      </c>
      <c r="J21" s="15">
        <f>C21-G21</f>
        <v>-1325</v>
      </c>
      <c r="K21" s="15"/>
    </row>
    <row r="22" ht="20.05" customHeight="1">
      <c r="B22" s="31"/>
      <c r="C22" s="14">
        <v>274</v>
      </c>
      <c r="D22" s="15">
        <v>6278</v>
      </c>
      <c r="E22" s="15">
        <f>D22-C22</f>
        <v>6004</v>
      </c>
      <c r="F22" s="15"/>
      <c r="G22" s="15">
        <v>1686</v>
      </c>
      <c r="H22" s="15">
        <v>4591</v>
      </c>
      <c r="I22" s="15">
        <f>G22+H22-C22-E22</f>
        <v>-1</v>
      </c>
      <c r="J22" s="15">
        <f>C22-G22</f>
        <v>-1412</v>
      </c>
      <c r="K22" s="15"/>
    </row>
    <row r="23" ht="20.05" customHeight="1">
      <c r="B23" s="31"/>
      <c r="C23" s="14">
        <v>298</v>
      </c>
      <c r="D23" s="15">
        <v>6653</v>
      </c>
      <c r="E23" s="15">
        <f>D23-C23</f>
        <v>6355</v>
      </c>
      <c r="F23" s="15"/>
      <c r="G23" s="15">
        <v>1997</v>
      </c>
      <c r="H23" s="15">
        <v>4656</v>
      </c>
      <c r="I23" s="15">
        <f>G23+H23-C23-E23</f>
        <v>0</v>
      </c>
      <c r="J23" s="15">
        <f>C23-G23</f>
        <v>-1699</v>
      </c>
      <c r="K23" s="15"/>
    </row>
    <row r="24" ht="20.05" customHeight="1">
      <c r="B24" s="33">
        <v>2020</v>
      </c>
      <c r="C24" s="14">
        <v>195</v>
      </c>
      <c r="D24" s="15">
        <v>6912</v>
      </c>
      <c r="E24" s="15">
        <f>D24-C24</f>
        <v>6717</v>
      </c>
      <c r="F24" s="15"/>
      <c r="G24" s="15">
        <v>2363</v>
      </c>
      <c r="H24" s="15">
        <v>4549</v>
      </c>
      <c r="I24" s="15">
        <f>G24+H24-C24-E24</f>
        <v>0</v>
      </c>
      <c r="J24" s="15">
        <f>C24-G24</f>
        <v>-2168</v>
      </c>
      <c r="K24" s="15"/>
    </row>
    <row r="25" ht="20.05" customHeight="1">
      <c r="B25" s="31"/>
      <c r="C25" s="14">
        <v>695</v>
      </c>
      <c r="D25" s="15">
        <v>7558</v>
      </c>
      <c r="E25" s="15">
        <f>D25-C25</f>
        <v>6863</v>
      </c>
      <c r="F25" s="15">
        <v>4438</v>
      </c>
      <c r="G25" s="15">
        <v>3242</v>
      </c>
      <c r="H25" s="15">
        <v>4316</v>
      </c>
      <c r="I25" s="15">
        <f>G25+H25-C25-E25</f>
        <v>0</v>
      </c>
      <c r="J25" s="15">
        <f>C25-G25</f>
        <v>-2547</v>
      </c>
      <c r="K25" s="15"/>
    </row>
    <row r="26" ht="20.05" customHeight="1">
      <c r="B26" s="31"/>
      <c r="C26" s="14">
        <v>368</v>
      </c>
      <c r="D26" s="15">
        <v>7653</v>
      </c>
      <c r="E26" s="15">
        <f>D26-C26</f>
        <v>7285</v>
      </c>
      <c r="F26" s="15">
        <f>F25+'Sales'!E26</f>
        <v>4690</v>
      </c>
      <c r="G26" s="15">
        <v>3096</v>
      </c>
      <c r="H26" s="15">
        <v>4558</v>
      </c>
      <c r="I26" s="15">
        <f>G26+H26-C26-E26</f>
        <v>1</v>
      </c>
      <c r="J26" s="15">
        <f>C26-G26</f>
        <v>-2728</v>
      </c>
      <c r="K26" s="15"/>
    </row>
    <row r="27" ht="20.05" customHeight="1">
      <c r="B27" s="31"/>
      <c r="C27" s="14">
        <v>360</v>
      </c>
      <c r="D27" s="15">
        <v>7800</v>
      </c>
      <c r="E27" s="15">
        <f>D27-C27</f>
        <v>7440</v>
      </c>
      <c r="F27" s="15">
        <f>239+176+4744</f>
        <v>5159</v>
      </c>
      <c r="G27" s="15">
        <v>3177</v>
      </c>
      <c r="H27" s="15">
        <v>4623</v>
      </c>
      <c r="I27" s="15">
        <f>G27+H27-C27-E27</f>
        <v>0</v>
      </c>
      <c r="J27" s="15">
        <f>C27-G27</f>
        <v>-2817</v>
      </c>
      <c r="K27" s="15"/>
    </row>
    <row r="28" ht="20.05" customHeight="1">
      <c r="B28" s="33">
        <v>2021</v>
      </c>
      <c r="C28" s="14">
        <v>1248</v>
      </c>
      <c r="D28" s="15">
        <v>9108</v>
      </c>
      <c r="E28" s="15">
        <f>D28-C28</f>
        <v>7860</v>
      </c>
      <c r="F28" s="15">
        <f>252+212+4963</f>
        <v>5427</v>
      </c>
      <c r="G28" s="15">
        <v>4236</v>
      </c>
      <c r="H28" s="15">
        <v>4872</v>
      </c>
      <c r="I28" s="15">
        <f>G28+H28-C28-E28</f>
        <v>0</v>
      </c>
      <c r="J28" s="15">
        <f>C28-G28</f>
        <v>-2988</v>
      </c>
      <c r="K28" s="15"/>
    </row>
    <row r="29" ht="20.05" customHeight="1">
      <c r="B29" s="31"/>
      <c r="C29" s="14">
        <v>281</v>
      </c>
      <c r="D29" s="15">
        <v>8589</v>
      </c>
      <c r="E29" s="15">
        <f>D29-C29</f>
        <v>8308</v>
      </c>
      <c r="F29" s="15">
        <f>5206+237+264</f>
        <v>5707</v>
      </c>
      <c r="G29" s="15">
        <v>3772</v>
      </c>
      <c r="H29" s="15">
        <v>4817</v>
      </c>
      <c r="I29" s="15">
        <f>G29+H29-C29-E29</f>
        <v>0</v>
      </c>
      <c r="J29" s="15">
        <f>C29-G29</f>
        <v>-3491</v>
      </c>
      <c r="K29" s="15"/>
    </row>
    <row r="30" ht="20.05" customHeight="1">
      <c r="B30" s="31"/>
      <c r="C30" s="14">
        <v>426</v>
      </c>
      <c r="D30" s="15">
        <v>9288</v>
      </c>
      <c r="E30" s="15">
        <f>D30-C30</f>
        <v>8862</v>
      </c>
      <c r="F30" s="15">
        <f>5486+244+277</f>
        <v>6007</v>
      </c>
      <c r="G30" s="15">
        <v>4256</v>
      </c>
      <c r="H30" s="15">
        <v>5032</v>
      </c>
      <c r="I30" s="15">
        <f>G30+H30-C30-E30</f>
        <v>0</v>
      </c>
      <c r="J30" s="15">
        <f>C30-G30</f>
        <v>-3830</v>
      </c>
      <c r="K30" s="15"/>
    </row>
    <row r="31" ht="20.05" customHeight="1">
      <c r="B31" s="31"/>
      <c r="C31" s="14">
        <f>C30+'Cashflow '!D31+'Cashflow '!E31+'Cashflow '!J31</f>
        <v>270.1</v>
      </c>
      <c r="D31" s="15">
        <v>9747</v>
      </c>
      <c r="E31" s="15">
        <f>D31-C31</f>
        <v>9476.9</v>
      </c>
      <c r="F31" s="15">
        <f>F30+'Sales'!E31</f>
        <v>6327</v>
      </c>
      <c r="G31" s="15">
        <v>4498</v>
      </c>
      <c r="H31" s="15">
        <f>D31-G31</f>
        <v>5249</v>
      </c>
      <c r="I31" s="15">
        <f>G31+H31-C31-E31</f>
        <v>0</v>
      </c>
      <c r="J31" s="15">
        <f>C31-G31</f>
        <v>-4227.9</v>
      </c>
      <c r="K31" s="15">
        <f>J31</f>
        <v>-4227.9</v>
      </c>
    </row>
    <row r="32" ht="20.05" customHeight="1">
      <c r="B32" s="33">
        <v>2022</v>
      </c>
      <c r="C32" s="14"/>
      <c r="D32" s="15"/>
      <c r="E32" s="15"/>
      <c r="F32" s="15"/>
      <c r="G32" s="15"/>
      <c r="H32" s="15"/>
      <c r="I32" s="15"/>
      <c r="J32" s="15"/>
      <c r="K32" s="15">
        <f>'Model'!F32</f>
        <v>-4150.5080174558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" style="39" customWidth="1"/>
    <col min="2" max="2" width="7.61719" style="39" customWidth="1"/>
    <col min="3" max="5" width="8.39062" style="39" customWidth="1"/>
    <col min="6" max="16384" width="16.3516" style="39" customWidth="1"/>
  </cols>
  <sheetData>
    <row r="1" ht="40.55" customHeight="1"/>
    <row r="2" ht="27.65" customHeight="1">
      <c r="B2" t="s" s="2">
        <v>55</v>
      </c>
      <c r="C2" s="2"/>
      <c r="D2" s="2"/>
      <c r="E2" s="2"/>
    </row>
    <row r="3" ht="20.25" customHeight="1">
      <c r="B3" s="4"/>
      <c r="C3" t="s" s="40">
        <v>56</v>
      </c>
      <c r="D3" t="s" s="40">
        <v>40</v>
      </c>
      <c r="E3" t="s" s="40">
        <v>57</v>
      </c>
    </row>
    <row r="4" ht="20.25" customHeight="1">
      <c r="B4" s="25">
        <v>2018</v>
      </c>
      <c r="C4" s="26">
        <v>5225</v>
      </c>
      <c r="D4" s="28"/>
      <c r="E4" s="28"/>
    </row>
    <row r="5" ht="20.05" customHeight="1">
      <c r="B5" s="31"/>
      <c r="C5" s="14">
        <v>4390</v>
      </c>
      <c r="D5" s="15"/>
      <c r="E5" s="15"/>
    </row>
    <row r="6" ht="20.05" customHeight="1">
      <c r="B6" s="31"/>
      <c r="C6" s="14">
        <v>4200</v>
      </c>
      <c r="D6" s="15"/>
      <c r="E6" s="15"/>
    </row>
    <row r="7" ht="20.05" customHeight="1">
      <c r="B7" s="31"/>
      <c r="C7" s="14">
        <v>4900</v>
      </c>
      <c r="D7" s="15"/>
      <c r="E7" s="15"/>
    </row>
    <row r="8" ht="20.05" customHeight="1">
      <c r="B8" s="33">
        <v>2019</v>
      </c>
      <c r="C8" s="14">
        <v>4490</v>
      </c>
      <c r="D8" s="15"/>
      <c r="E8" s="15"/>
    </row>
    <row r="9" ht="20.05" customHeight="1">
      <c r="B9" s="31"/>
      <c r="C9" s="14">
        <v>4250</v>
      </c>
      <c r="D9" s="15"/>
      <c r="E9" s="15"/>
    </row>
    <row r="10" ht="20.05" customHeight="1">
      <c r="B10" s="31"/>
      <c r="C10" s="14">
        <v>4100</v>
      </c>
      <c r="D10" s="15"/>
      <c r="E10" s="15"/>
    </row>
    <row r="11" ht="20.05" customHeight="1">
      <c r="B11" s="31"/>
      <c r="C11" s="14">
        <v>3687.673828</v>
      </c>
      <c r="D11" s="15"/>
      <c r="E11" s="15"/>
    </row>
    <row r="12" ht="20.05" customHeight="1">
      <c r="B12" s="33">
        <v>2020</v>
      </c>
      <c r="C12" s="14">
        <v>2449.136963</v>
      </c>
      <c r="D12" s="15"/>
      <c r="E12" s="15"/>
    </row>
    <row r="13" ht="20.05" customHeight="1">
      <c r="B13" s="31"/>
      <c r="C13" s="14">
        <v>2250</v>
      </c>
      <c r="D13" s="34"/>
      <c r="E13" s="34"/>
    </row>
    <row r="14" ht="20.05" customHeight="1">
      <c r="B14" s="31"/>
      <c r="C14" s="14">
        <v>1765</v>
      </c>
      <c r="D14" s="34"/>
      <c r="E14" s="34"/>
    </row>
    <row r="15" ht="20.05" customHeight="1">
      <c r="B15" s="31"/>
      <c r="C15" s="14">
        <v>2410</v>
      </c>
      <c r="D15" s="34"/>
      <c r="E15" s="34"/>
    </row>
    <row r="16" ht="20.05" customHeight="1">
      <c r="B16" s="33">
        <v>2021</v>
      </c>
      <c r="C16" s="14">
        <v>3200</v>
      </c>
      <c r="D16" s="34"/>
      <c r="E16" s="34"/>
    </row>
    <row r="17" ht="20.05" customHeight="1">
      <c r="B17" s="31"/>
      <c r="C17" s="14">
        <v>4300</v>
      </c>
      <c r="D17" s="34"/>
      <c r="E17" s="34"/>
    </row>
    <row r="18" ht="20.05" customHeight="1">
      <c r="B18" s="31"/>
      <c r="C18" s="14">
        <v>4030</v>
      </c>
      <c r="D18" s="34"/>
      <c r="E18" s="34"/>
    </row>
    <row r="19" ht="20.05" customHeight="1">
      <c r="B19" s="31"/>
      <c r="C19" s="14">
        <v>4470</v>
      </c>
      <c r="D19" s="34"/>
      <c r="E19" s="15">
        <v>3400.851389639030</v>
      </c>
    </row>
    <row r="20" ht="20.05" customHeight="1">
      <c r="B20" s="33">
        <v>2022</v>
      </c>
      <c r="C20" s="14">
        <v>4390</v>
      </c>
      <c r="D20" s="15">
        <f>C20</f>
        <v>4390</v>
      </c>
      <c r="E20" s="34"/>
    </row>
    <row r="21" ht="20.05" customHeight="1">
      <c r="B21" s="31"/>
      <c r="C21" s="14"/>
      <c r="D21" s="15">
        <f>'Model'!F45</f>
        <v>3930.702851816980</v>
      </c>
      <c r="E21" s="3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