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<sst xmlns="http://schemas.openxmlformats.org/spreadsheetml/2006/main" uniqueCount="91">
  <si>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</si>
  <si>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</si>
  <si>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</si>
  <si>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</si>
  <si>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</si>
  <si>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</si>
  <si>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</si>
  <si>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</si>
  <si>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</si>
  <si>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</si>
  <si>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</si>
  <si>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</si>
  <si>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</si>
  <si>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</si>
  <si>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</si>
  <si>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</si>
  <si>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</si>
  <si>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</si>
  <si>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>End</t>
  </si>
  <si>
    <t xml:space="preserve">Profit </t>
  </si>
  <si>
    <t xml:space="preserve">Non cash costs </t>
  </si>
  <si>
    <t>JV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</si>
  <si>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</si>
  <si>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</si>
  <si>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</si>
  <si>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</si>
  <si>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</si>
  <si>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</si>
  <si>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</si>
  <si>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</si>
  <si>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</si>
  <si>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</si>
  <si>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</si>
  <si>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</si>
  <si>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</si>
  <si>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</si>
  <si>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</si>
  <si>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</si>
  <si>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</si>
  <si>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</si>
  <si>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</si>
  <si>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</si>
  <si>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</si>
  <si>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</si>
  <si>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Non cash costs</t>
  </si>
  <si>
    <t>Profit</t>
  </si>
  <si>
    <t xml:space="preserve">Sales growth </t>
  </si>
  <si>
    <t>Receipts</t>
  </si>
  <si>
    <t>Interest</t>
  </si>
  <si>
    <t xml:space="preserve">Free cashflow </t>
  </si>
  <si>
    <t>Cash</t>
  </si>
  <si>
    <t>Assets</t>
  </si>
  <si>
    <t>Check</t>
  </si>
  <si>
    <t>Share price</t>
  </si>
  <si>
    <t>KRAS</t>
  </si>
  <si>
    <t>Target</t>
  </si>
  <si>
    <t xml:space="preserve">Previous </t>
  </si>
  <si>
    <t>Capital</t>
  </si>
  <si>
    <t>Rpbn</t>
  </si>
  <si>
    <t xml:space="preserve">Total </t>
  </si>
  <si>
    <t>Table 1</t>
  </si>
  <si>
    <t>Market value</t>
  </si>
  <si>
    <t xml:space="preserve">capital history </t>
  </si>
  <si>
    <t>of market value</t>
  </si>
  <si>
    <t>raised every year since 2007</t>
  </si>
  <si>
    <t xml:space="preserve">Start date </t>
  </si>
  <si>
    <t xml:space="preserve">Number of quarters </t>
  </si>
  <si>
    <t>Market value $m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</si>
  <si>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</si>
  <si>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</si>
  <si>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</si>
  <si>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</si>
  <si>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</si>
  <si>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</si>
  <si>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</si>
  <si>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</si>
  <si>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</si>
  <si>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</si>
  <si>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</si>
  <si>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</si>
  <si>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</si>
  <si>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</si>
  <si>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up</t>
  </si>
  <si>
    <t>to</t>
  </si>
  <si>
    <t xml:space="preserve">equity </t>
  </si>
  <si>
    <t>was</t>
  </si>
  <si>
    <t xml:space="preserve">The peak in cumulative equity </t>
  </si>
  <si>
    <t>is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</si>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</sst>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0.0"/>
    <numFmt numFmtId="60" formatCode="#,##0%"/>
    <numFmt numFmtId="61" formatCode="0.0_);[Red]\(0.0\)"/>
    <numFmt numFmtId="62" formatCode="0%_);[Red]\(0%\)"/>
    <numFmt numFmtId="63" formatCode="[$IDR]0"/>
    <numFmt numFmtId="64" formatCode="mmm d, yyyy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7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4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efffe"/>
      <rgbColor rgb="fff8ba00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29981"/>
          <c:y val="0.0446026"/>
          <c:w val="0.829027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'!$A$3:$A$17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'Capital '!$E$3:$E$17</c:f>
              <c:numCache>
                <c:ptCount val="15"/>
                <c:pt idx="0">
                  <c:v>-27.785714</c:v>
                </c:pt>
                <c:pt idx="1">
                  <c:v>-20.714286</c:v>
                </c:pt>
                <c:pt idx="2">
                  <c:v>-24.357143</c:v>
                </c:pt>
                <c:pt idx="3">
                  <c:v>-13.857143</c:v>
                </c:pt>
                <c:pt idx="4">
                  <c:v>58.928571</c:v>
                </c:pt>
                <c:pt idx="5">
                  <c:v>168.928571</c:v>
                </c:pt>
                <c:pt idx="6">
                  <c:v>192.928571</c:v>
                </c:pt>
                <c:pt idx="7">
                  <c:v>527.928571</c:v>
                </c:pt>
                <c:pt idx="8">
                  <c:v>801.928571</c:v>
                </c:pt>
                <c:pt idx="9">
                  <c:v>931.928571</c:v>
                </c:pt>
                <c:pt idx="10">
                  <c:v>977.928571</c:v>
                </c:pt>
                <c:pt idx="11">
                  <c:v>1305.928571</c:v>
                </c:pt>
                <c:pt idx="12">
                  <c:v>1402.928571</c:v>
                </c:pt>
                <c:pt idx="13">
                  <c:v>1477.928571</c:v>
                </c:pt>
                <c:pt idx="14">
                  <c:v>1478.928571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'!$A$3:$A$17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'Capital '!$F$3:$F$17</c:f>
              <c:numCache>
                <c:ptCount val="15"/>
                <c:pt idx="0">
                  <c:v>0.000000</c:v>
                </c:pt>
                <c:pt idx="1">
                  <c:v>-6.785714</c:v>
                </c:pt>
                <c:pt idx="2">
                  <c:v>1.714286</c:v>
                </c:pt>
                <c:pt idx="3">
                  <c:v>182.928571</c:v>
                </c:pt>
                <c:pt idx="4">
                  <c:v>179.357143</c:v>
                </c:pt>
                <c:pt idx="5">
                  <c:v>154.357143</c:v>
                </c:pt>
                <c:pt idx="6">
                  <c:v>154.357143</c:v>
                </c:pt>
                <c:pt idx="7">
                  <c:v>154.357143</c:v>
                </c:pt>
                <c:pt idx="8">
                  <c:v>154.357143</c:v>
                </c:pt>
                <c:pt idx="9">
                  <c:v>291.357143</c:v>
                </c:pt>
                <c:pt idx="10">
                  <c:v>291.357143</c:v>
                </c:pt>
                <c:pt idx="11">
                  <c:v>291.357143</c:v>
                </c:pt>
                <c:pt idx="12">
                  <c:v>291.357143</c:v>
                </c:pt>
                <c:pt idx="13">
                  <c:v>447.357143</c:v>
                </c:pt>
                <c:pt idx="14">
                  <c:v>447.357143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rgbClr val="F8BA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F8BA00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'!$A$3:$A$17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'Capital '!$G$3:$G$17</c:f>
              <c:numCache>
                <c:ptCount val="15"/>
                <c:pt idx="0">
                  <c:v>-27.785714</c:v>
                </c:pt>
                <c:pt idx="1">
                  <c:v>-27.500000</c:v>
                </c:pt>
                <c:pt idx="2">
                  <c:v>-22.642857</c:v>
                </c:pt>
                <c:pt idx="3">
                  <c:v>169.071429</c:v>
                </c:pt>
                <c:pt idx="4">
                  <c:v>238.285714</c:v>
                </c:pt>
                <c:pt idx="5">
                  <c:v>323.285714</c:v>
                </c:pt>
                <c:pt idx="6">
                  <c:v>347.285714</c:v>
                </c:pt>
                <c:pt idx="7">
                  <c:v>682.285714</c:v>
                </c:pt>
                <c:pt idx="8">
                  <c:v>956.285714</c:v>
                </c:pt>
                <c:pt idx="9">
                  <c:v>1223.285714</c:v>
                </c:pt>
                <c:pt idx="10">
                  <c:v>1269.285714</c:v>
                </c:pt>
                <c:pt idx="11">
                  <c:v>1597.285714</c:v>
                </c:pt>
                <c:pt idx="12">
                  <c:v>1694.285714</c:v>
                </c:pt>
                <c:pt idx="13">
                  <c:v>1925.285714</c:v>
                </c:pt>
                <c:pt idx="14">
                  <c:v>1926.285714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#,##0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625"/>
        <c:minorUnit val="312.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17622"/>
          <c:y val="0.063097"/>
          <c:w val="0.370315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462646</xdr:colOff>
      <xdr:row>1</xdr:row>
      <xdr:rowOff>248761</xdr:rowOff>
    </xdr:from>
    <xdr:to>
      <xdr:col>13</xdr:col>
      <xdr:colOff>655314</xdr:colOff>
      <xdr:row>50</xdr:row>
      <xdr:rowOff>203410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412346" y="401161"/>
          <a:ext cx="8904869" cy="125333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367007</xdr:colOff>
      <xdr:row>21</xdr:row>
      <xdr:rowOff>94085</xdr:rowOff>
    </xdr:from>
    <xdr:to>
      <xdr:col>4</xdr:col>
      <xdr:colOff>207813</xdr:colOff>
      <xdr:row>29</xdr:row>
      <xdr:rowOff>479720</xdr:rowOff>
    </xdr:to>
    <xdr:graphicFrame>
      <xdr:nvGraphicFramePr>
        <xdr:cNvPr id="4" name="2D Line Chart"/>
        <xdr:cNvGraphicFramePr/>
      </xdr:nvGraphicFramePr>
      <xdr:xfrm>
        <a:off x="367007" y="5642715"/>
        <a:ext cx="3600007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53146</xdr:colOff>
      <xdr:row>19</xdr:row>
      <xdr:rowOff>188854</xdr:rowOff>
    </xdr:from>
    <xdr:to>
      <xdr:col>4</xdr:col>
      <xdr:colOff>521674</xdr:colOff>
      <xdr:row>21</xdr:row>
      <xdr:rowOff>176361</xdr:rowOff>
    </xdr:to>
    <xdr:sp>
      <xdr:nvSpPr>
        <xdr:cNvPr id="5" name="KRAS 1.9 billion dollars raised"/>
        <xdr:cNvSpPr txBox="1"/>
      </xdr:nvSpPr>
      <xdr:spPr>
        <a:xfrm>
          <a:off x="53146" y="5223134"/>
          <a:ext cx="4227729" cy="50185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KRAS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1.9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billion dollars raised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5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1953" style="1" customWidth="1"/>
    <col min="3" max="6" width="8.54688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AVERAGE('Sales'!H20:H23)</f>
        <v>0.093413657090356</v>
      </c>
      <c r="D4" s="8"/>
      <c r="E4" s="8"/>
      <c r="F4" s="9">
        <f>AVERAGE(C5:F5)</f>
        <v>0.0375</v>
      </c>
    </row>
    <row r="5" ht="20.05" customHeight="1">
      <c r="B5" t="s" s="10">
        <v>4</v>
      </c>
      <c r="C5" s="11">
        <v>0.05</v>
      </c>
      <c r="D5" s="12">
        <v>0.05</v>
      </c>
      <c r="E5" s="12">
        <v>0.05</v>
      </c>
      <c r="F5" s="12">
        <v>0</v>
      </c>
    </row>
    <row r="6" ht="20.05" customHeight="1">
      <c r="B6" t="s" s="10">
        <v>5</v>
      </c>
      <c r="C6" s="13">
        <f>'Sales'!C23*(1+C5)</f>
        <v>709.8</v>
      </c>
      <c r="D6" s="14">
        <f>C6*(1+D5)</f>
        <v>745.29</v>
      </c>
      <c r="E6" s="14">
        <f>D6*(1+E5)</f>
        <v>782.5545</v>
      </c>
      <c r="F6" s="14">
        <f>E6*(1+F5)</f>
        <v>782.5545</v>
      </c>
    </row>
    <row r="7" ht="20.05" customHeight="1">
      <c r="B7" t="s" s="10">
        <v>6</v>
      </c>
      <c r="C7" s="11">
        <f>'Sales'!I23</f>
        <v>-0.967603550295858</v>
      </c>
      <c r="D7" s="12">
        <f>C7</f>
        <v>-0.967603550295858</v>
      </c>
      <c r="E7" s="12">
        <f>D7</f>
        <v>-0.967603550295858</v>
      </c>
      <c r="F7" s="12">
        <f>E7</f>
        <v>-0.967603550295858</v>
      </c>
    </row>
    <row r="8" ht="20.05" customHeight="1">
      <c r="B8" t="s" s="10">
        <v>7</v>
      </c>
      <c r="C8" s="15">
        <f>C6*C7</f>
        <v>-686.8049999999999</v>
      </c>
      <c r="D8" s="16">
        <f>D6*D7</f>
        <v>-721.14525</v>
      </c>
      <c r="E8" s="16">
        <f>E6*E7</f>
        <v>-757.2025125</v>
      </c>
      <c r="F8" s="16">
        <f>F6*F7</f>
        <v>-757.2025125</v>
      </c>
    </row>
    <row r="9" ht="20.05" customHeight="1">
      <c r="B9" t="s" s="10">
        <v>8</v>
      </c>
      <c r="C9" s="15">
        <f>C6+C8</f>
        <v>22.995</v>
      </c>
      <c r="D9" s="16">
        <f>D6+D8</f>
        <v>24.14475</v>
      </c>
      <c r="E9" s="16">
        <f>E6+E8</f>
        <v>25.3519875</v>
      </c>
      <c r="F9" s="16">
        <f>F6+F8</f>
        <v>25.3519875</v>
      </c>
    </row>
    <row r="10" ht="20.05" customHeight="1">
      <c r="B10" t="s" s="10">
        <v>9</v>
      </c>
      <c r="C10" s="15">
        <f>AVERAGE('Cashflow '!E24)</f>
        <v>-14.6</v>
      </c>
      <c r="D10" s="16">
        <f>C10</f>
        <v>-14.6</v>
      </c>
      <c r="E10" s="16">
        <f>D10</f>
        <v>-14.6</v>
      </c>
      <c r="F10" s="16">
        <f>E10</f>
        <v>-14.6</v>
      </c>
    </row>
    <row r="11" ht="20.05" customHeight="1">
      <c r="B11" t="s" s="10">
        <v>10</v>
      </c>
      <c r="C11" s="15">
        <f>C12+C15+C13</f>
        <v>-8.395</v>
      </c>
      <c r="D11" s="16">
        <f>D12+D15+D13</f>
        <v>-9.544750000000001</v>
      </c>
      <c r="E11" s="16">
        <f>E12+E15+E13</f>
        <v>-10.7519875</v>
      </c>
      <c r="F11" s="16">
        <f>F12+F15+F13</f>
        <v>-10.7519875</v>
      </c>
    </row>
    <row r="12" ht="20.05" customHeight="1">
      <c r="B12" t="s" s="10">
        <v>11</v>
      </c>
      <c r="C12" s="15">
        <f>-'Balance sheet'!G20/20</f>
        <v>-167.95</v>
      </c>
      <c r="D12" s="16">
        <f>-C28/20</f>
        <v>-159.5525</v>
      </c>
      <c r="E12" s="16">
        <f>-D28/20</f>
        <v>-151.574875</v>
      </c>
      <c r="F12" s="16">
        <f>-E28/20</f>
        <v>-143.99613125</v>
      </c>
    </row>
    <row r="13" ht="20.05" customHeight="1">
      <c r="B13" t="s" s="10">
        <v>12</v>
      </c>
      <c r="C13" s="15">
        <f>-MIN(0,C16)</f>
        <v>159.555</v>
      </c>
      <c r="D13" s="16">
        <f>-MIN(C29,D16)</f>
        <v>150.00775</v>
      </c>
      <c r="E13" s="16">
        <f>-MIN(D29,E16)</f>
        <v>140.8228875</v>
      </c>
      <c r="F13" s="16">
        <f>-MIN(E29,F16)</f>
        <v>133.24414375</v>
      </c>
    </row>
    <row r="14" ht="20.05" customHeight="1">
      <c r="B14" t="s" s="10">
        <v>13</v>
      </c>
      <c r="C14" s="17">
        <v>0</v>
      </c>
      <c r="D14" s="18"/>
      <c r="E14" s="18"/>
      <c r="F14" s="18"/>
    </row>
    <row r="15" ht="20.05" customHeight="1">
      <c r="B15" t="s" s="10">
        <v>14</v>
      </c>
      <c r="C15" s="19">
        <f>IF(C23&gt;0,-C23*$C$14,0)</f>
        <v>0</v>
      </c>
      <c r="D15" s="20">
        <f>IF(D23&gt;0,-D23*$C$14,0)</f>
        <v>0</v>
      </c>
      <c r="E15" s="20">
        <f>IF(E23&gt;0,-E23*$C$14,0)</f>
        <v>0</v>
      </c>
      <c r="F15" s="20">
        <f>IF(F23&gt;0,-F23*$C$14,0)</f>
        <v>0</v>
      </c>
    </row>
    <row r="16" ht="20.05" customHeight="1">
      <c r="B16" t="s" s="10">
        <v>15</v>
      </c>
      <c r="C16" s="15">
        <f>C9+C10+C12+C15</f>
        <v>-159.555</v>
      </c>
      <c r="D16" s="16">
        <f>D9+D10+D12+D15</f>
        <v>-150.00775</v>
      </c>
      <c r="E16" s="16">
        <f>E9+E10+E12+E15</f>
        <v>-140.8228875</v>
      </c>
      <c r="F16" s="16">
        <f>F9+F10+F12+F15</f>
        <v>-133.24414375</v>
      </c>
    </row>
    <row r="17" ht="20.05" customHeight="1">
      <c r="B17" t="s" s="10">
        <v>16</v>
      </c>
      <c r="C17" s="15">
        <f>'Balance sheet'!C20</f>
        <v>124</v>
      </c>
      <c r="D17" s="16">
        <f>C19</f>
        <v>124</v>
      </c>
      <c r="E17" s="16">
        <f>D19</f>
        <v>124</v>
      </c>
      <c r="F17" s="16">
        <f>E19</f>
        <v>124</v>
      </c>
    </row>
    <row r="18" ht="20.05" customHeight="1">
      <c r="B18" t="s" s="10">
        <v>17</v>
      </c>
      <c r="C18" s="15">
        <f>C9+C10+C11</f>
        <v>0</v>
      </c>
      <c r="D18" s="16">
        <f>D9+D10+D11</f>
        <v>0</v>
      </c>
      <c r="E18" s="16">
        <f>E9+E10+E11</f>
        <v>0</v>
      </c>
      <c r="F18" s="16">
        <f>F9+F10+F11</f>
        <v>0</v>
      </c>
    </row>
    <row r="19" ht="20.05" customHeight="1">
      <c r="B19" t="s" s="10">
        <v>18</v>
      </c>
      <c r="C19" s="15">
        <f>C17+C18</f>
        <v>124</v>
      </c>
      <c r="D19" s="16">
        <f>D17+D18</f>
        <v>124</v>
      </c>
      <c r="E19" s="16">
        <f>E17+E18</f>
        <v>124</v>
      </c>
      <c r="F19" s="16">
        <f>F17+F18</f>
        <v>124</v>
      </c>
    </row>
    <row r="20" ht="20.05" customHeight="1">
      <c r="B20" t="s" s="21">
        <v>19</v>
      </c>
      <c r="C20" s="15"/>
      <c r="D20" s="16"/>
      <c r="E20" s="16"/>
      <c r="F20" s="18"/>
    </row>
    <row r="21" ht="20.05" customHeight="1">
      <c r="B21" t="s" s="10">
        <v>20</v>
      </c>
      <c r="C21" s="15">
        <f>-'Sales'!E23</f>
        <v>-16.5</v>
      </c>
      <c r="D21" s="16">
        <f>C21</f>
        <v>-16.5</v>
      </c>
      <c r="E21" s="16">
        <f>D21</f>
        <v>-16.5</v>
      </c>
      <c r="F21" s="16">
        <f>E21</f>
        <v>-16.5</v>
      </c>
    </row>
    <row r="22" ht="20.05" customHeight="1">
      <c r="B22" t="s" s="10">
        <v>21</v>
      </c>
      <c r="C22" s="15">
        <f>'Sales'!F23</f>
        <v>21.1</v>
      </c>
      <c r="D22" s="16">
        <f>C22</f>
        <v>21.1</v>
      </c>
      <c r="E22" s="16">
        <f>D22</f>
        <v>21.1</v>
      </c>
      <c r="F22" s="16">
        <f>E22</f>
        <v>21.1</v>
      </c>
    </row>
    <row r="23" ht="20.05" customHeight="1">
      <c r="B23" t="s" s="10">
        <v>19</v>
      </c>
      <c r="C23" s="15">
        <f>C6+C8+C21+C22</f>
        <v>27.595</v>
      </c>
      <c r="D23" s="16">
        <f>D6+D8+D21+D22</f>
        <v>28.74475</v>
      </c>
      <c r="E23" s="16">
        <f>E6+E8+E21+E22</f>
        <v>29.9519875</v>
      </c>
      <c r="F23" s="16">
        <f>F6+F8+F21+F22</f>
        <v>29.9519875</v>
      </c>
    </row>
    <row r="24" ht="20.05" customHeight="1">
      <c r="B24" t="s" s="21">
        <v>22</v>
      </c>
      <c r="C24" s="15"/>
      <c r="D24" s="16"/>
      <c r="E24" s="16"/>
      <c r="F24" s="16"/>
    </row>
    <row r="25" ht="20.05" customHeight="1">
      <c r="B25" t="s" s="10">
        <v>23</v>
      </c>
      <c r="C25" s="15">
        <f>'Balance sheet'!E20+'Balance sheet'!F20-C10+C22</f>
        <v>5898.7</v>
      </c>
      <c r="D25" s="16">
        <f>C25-D10+D22</f>
        <v>5934.4</v>
      </c>
      <c r="E25" s="16">
        <f>D25-E10+E22</f>
        <v>5970.1</v>
      </c>
      <c r="F25" s="16">
        <f>E25-F10+F22</f>
        <v>6005.8</v>
      </c>
    </row>
    <row r="26" ht="20.05" customHeight="1">
      <c r="B26" t="s" s="10">
        <v>24</v>
      </c>
      <c r="C26" s="15">
        <f>'Balance sheet'!F20-C21</f>
        <v>2088.5</v>
      </c>
      <c r="D26" s="16">
        <f>C26-D21</f>
        <v>2105</v>
      </c>
      <c r="E26" s="16">
        <f>D26-E21</f>
        <v>2121.5</v>
      </c>
      <c r="F26" s="16">
        <f>E26-F21</f>
        <v>2138</v>
      </c>
    </row>
    <row r="27" ht="20.05" customHeight="1">
      <c r="B27" t="s" s="10">
        <v>25</v>
      </c>
      <c r="C27" s="15">
        <f>C25-C26</f>
        <v>3810.2</v>
      </c>
      <c r="D27" s="16">
        <f>D25-D26</f>
        <v>3829.4</v>
      </c>
      <c r="E27" s="16">
        <f>E25-E26</f>
        <v>3848.6</v>
      </c>
      <c r="F27" s="16">
        <f>F25-F26</f>
        <v>3867.8</v>
      </c>
    </row>
    <row r="28" ht="20.05" customHeight="1">
      <c r="B28" t="s" s="10">
        <v>11</v>
      </c>
      <c r="C28" s="15">
        <f>'Balance sheet'!G20+C12</f>
        <v>3191.05</v>
      </c>
      <c r="D28" s="16">
        <f>C28+D12</f>
        <v>3031.4975</v>
      </c>
      <c r="E28" s="16">
        <f>D28+E12</f>
        <v>2879.922625</v>
      </c>
      <c r="F28" s="16">
        <f>E28+F12</f>
        <v>2735.92649375</v>
      </c>
    </row>
    <row r="29" ht="20.05" customHeight="1">
      <c r="B29" t="s" s="10">
        <v>12</v>
      </c>
      <c r="C29" s="15">
        <f>C13</f>
        <v>159.555</v>
      </c>
      <c r="D29" s="16">
        <f>C29+D13</f>
        <v>309.56275</v>
      </c>
      <c r="E29" s="16">
        <f>D29+E13</f>
        <v>450.3856375</v>
      </c>
      <c r="F29" s="16">
        <f>E29+F13</f>
        <v>583.62978125</v>
      </c>
    </row>
    <row r="30" ht="20.05" customHeight="1">
      <c r="B30" t="s" s="10">
        <v>14</v>
      </c>
      <c r="C30" s="15">
        <f>'Balance sheet'!H20+C23+C15</f>
        <v>583.595</v>
      </c>
      <c r="D30" s="16">
        <f>C30+D23+D15</f>
        <v>612.33975</v>
      </c>
      <c r="E30" s="16">
        <f>D30+E23+E15</f>
        <v>642.2917375</v>
      </c>
      <c r="F30" s="16">
        <f>E30+F23+F15</f>
        <v>672.243725</v>
      </c>
    </row>
    <row r="31" ht="20.05" customHeight="1">
      <c r="B31" t="s" s="10">
        <v>26</v>
      </c>
      <c r="C31" s="15">
        <f>C28+C29+C30-C19-C27</f>
        <v>0</v>
      </c>
      <c r="D31" s="16">
        <f>D28+D29+D30-D19-D27</f>
        <v>0</v>
      </c>
      <c r="E31" s="16">
        <f>E28+E29+E30-E19-E27</f>
        <v>0</v>
      </c>
      <c r="F31" s="16">
        <f>F28+F29+F30-F19-F27</f>
        <v>0</v>
      </c>
    </row>
    <row r="32" ht="20.05" customHeight="1">
      <c r="B32" t="s" s="10">
        <v>27</v>
      </c>
      <c r="C32" s="15">
        <f>C19-C28-C29</f>
        <v>-3226.605</v>
      </c>
      <c r="D32" s="16">
        <f>D19-D28-D29</f>
        <v>-3217.06025</v>
      </c>
      <c r="E32" s="16">
        <f>E19-E28-E29</f>
        <v>-3206.3082625</v>
      </c>
      <c r="F32" s="16">
        <f>F19-F28-F29</f>
        <v>-3195.556275</v>
      </c>
    </row>
    <row r="33" ht="20.05" customHeight="1">
      <c r="B33" t="s" s="21">
        <v>28</v>
      </c>
      <c r="C33" s="15"/>
      <c r="D33" s="16"/>
      <c r="E33" s="16"/>
      <c r="F33" s="16"/>
    </row>
    <row r="34" ht="20.05" customHeight="1">
      <c r="B34" t="s" s="10">
        <v>29</v>
      </c>
      <c r="C34" s="15"/>
      <c r="D34" s="16"/>
      <c r="E34" s="16"/>
      <c r="F34" s="16">
        <v>14</v>
      </c>
    </row>
    <row r="35" ht="20.05" customHeight="1">
      <c r="B35" t="s" s="10">
        <v>30</v>
      </c>
      <c r="C35" s="15">
        <f>'Cashflow '!M24-C11</f>
        <v>-683.105</v>
      </c>
      <c r="D35" s="16">
        <f>C35-D11</f>
        <v>-673.56025</v>
      </c>
      <c r="E35" s="16">
        <f>D35-E11</f>
        <v>-662.8082625</v>
      </c>
      <c r="F35" s="16">
        <f>E35-F11</f>
        <v>-652.056275</v>
      </c>
    </row>
    <row r="36" ht="20.05" customHeight="1">
      <c r="B36" t="s" s="10">
        <v>31</v>
      </c>
      <c r="C36" s="15"/>
      <c r="D36" s="16"/>
      <c r="E36" s="16"/>
      <c r="F36" s="16">
        <v>7003396521984</v>
      </c>
    </row>
    <row r="37" ht="20.05" customHeight="1">
      <c r="B37" t="s" s="10">
        <v>31</v>
      </c>
      <c r="C37" s="15"/>
      <c r="D37" s="16"/>
      <c r="E37" s="16"/>
      <c r="F37" s="16">
        <f>(F36/1000000000)/F34</f>
        <v>500.242608713143</v>
      </c>
    </row>
    <row r="38" ht="20.05" customHeight="1">
      <c r="B38" t="s" s="10">
        <v>32</v>
      </c>
      <c r="C38" s="15"/>
      <c r="D38" s="16"/>
      <c r="E38" s="16"/>
      <c r="F38" s="22">
        <f>F37/(F19+F27)</f>
        <v>0.125317553162268</v>
      </c>
    </row>
    <row r="39" ht="20.05" customHeight="1">
      <c r="B39" t="s" s="10">
        <v>33</v>
      </c>
      <c r="C39" s="15"/>
      <c r="D39" s="16"/>
      <c r="E39" s="16"/>
      <c r="F39" s="23">
        <f>-(C15+D15+E15+F15)/F37</f>
        <v>0</v>
      </c>
    </row>
    <row r="40" ht="20.05" customHeight="1">
      <c r="B40" t="s" s="10">
        <v>34</v>
      </c>
      <c r="C40" s="15"/>
      <c r="D40" s="16"/>
      <c r="E40" s="16"/>
      <c r="F40" s="16">
        <f>SUM(C9:F10)</f>
        <v>39.443725</v>
      </c>
    </row>
    <row r="41" ht="20.05" customHeight="1">
      <c r="B41" t="s" s="10">
        <v>35</v>
      </c>
      <c r="C41" s="15"/>
      <c r="D41" s="16"/>
      <c r="E41" s="16"/>
      <c r="F41" s="16">
        <f>'Balance sheet'!E20/F40</f>
        <v>96.1116121765883</v>
      </c>
    </row>
    <row r="42" ht="20.05" customHeight="1">
      <c r="B42" t="s" s="10">
        <v>28</v>
      </c>
      <c r="C42" s="15"/>
      <c r="D42" s="16"/>
      <c r="E42" s="16"/>
      <c r="F42" s="16">
        <f>F37/F40</f>
        <v>12.6824383019896</v>
      </c>
    </row>
    <row r="43" ht="20.05" customHeight="1">
      <c r="B43" t="s" s="10">
        <v>36</v>
      </c>
      <c r="C43" s="15"/>
      <c r="D43" s="16"/>
      <c r="E43" s="16"/>
      <c r="F43" s="16">
        <v>16</v>
      </c>
    </row>
    <row r="44" ht="20.05" customHeight="1">
      <c r="B44" t="s" s="10">
        <v>37</v>
      </c>
      <c r="C44" s="15"/>
      <c r="D44" s="16"/>
      <c r="E44" s="16"/>
      <c r="F44" s="16">
        <f>F43*F40</f>
        <v>631.0996</v>
      </c>
    </row>
    <row r="45" ht="20.05" customHeight="1">
      <c r="B45" t="s" s="10">
        <v>38</v>
      </c>
      <c r="C45" s="15"/>
      <c r="D45" s="16"/>
      <c r="E45" s="16"/>
      <c r="F45" s="16">
        <f>(F36/1000000000)/F47</f>
        <v>19.346399232</v>
      </c>
    </row>
    <row r="46" ht="20.05" customHeight="1">
      <c r="B46" t="s" s="10">
        <v>39</v>
      </c>
      <c r="C46" s="15"/>
      <c r="D46" s="16"/>
      <c r="E46" s="16"/>
      <c r="F46" s="16">
        <f>(F44/F45)*F34</f>
        <v>456.694514263190</v>
      </c>
    </row>
    <row r="47" ht="20.05" customHeight="1">
      <c r="B47" t="s" s="10">
        <v>40</v>
      </c>
      <c r="C47" s="15"/>
      <c r="D47" s="16"/>
      <c r="E47" s="16"/>
      <c r="F47" s="16">
        <v>362</v>
      </c>
    </row>
    <row r="48" ht="20.05" customHeight="1">
      <c r="B48" t="s" s="10">
        <v>41</v>
      </c>
      <c r="C48" s="15"/>
      <c r="D48" s="16"/>
      <c r="E48" s="16"/>
      <c r="F48" s="23">
        <f>F46/F47-1</f>
        <v>0.261587055975663</v>
      </c>
    </row>
    <row r="49" ht="20.05" customHeight="1">
      <c r="B49" t="s" s="10">
        <v>42</v>
      </c>
      <c r="C49" s="15"/>
      <c r="D49" s="16"/>
      <c r="E49" s="16"/>
      <c r="F49" s="23">
        <f>'Sales'!C23/'Sales'!C19-1</f>
        <v>0.396694214876033</v>
      </c>
    </row>
    <row r="50" ht="20.05" customHeight="1">
      <c r="B50" t="s" s="10">
        <v>43</v>
      </c>
      <c r="C50" s="15"/>
      <c r="D50" s="16"/>
      <c r="E50" s="16"/>
      <c r="F50" s="23">
        <f>'Sales'!F26/'Sales'!E26-1</f>
        <v>8.8351153629713e-05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K27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4" customWidth="1"/>
    <col min="2" max="11" width="10.9688" style="24" customWidth="1"/>
    <col min="12" max="16384" width="16.3516" style="24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B2" t="s" s="5">
        <v>1</v>
      </c>
      <c r="C2" t="s" s="5">
        <v>5</v>
      </c>
      <c r="D2" t="s" s="5">
        <v>36</v>
      </c>
      <c r="E2" t="s" s="5">
        <v>44</v>
      </c>
      <c r="F2" t="s" s="5">
        <v>21</v>
      </c>
      <c r="G2" t="s" s="5">
        <v>45</v>
      </c>
      <c r="H2" t="s" s="5">
        <v>46</v>
      </c>
      <c r="I2" t="s" s="5">
        <v>6</v>
      </c>
      <c r="J2" t="s" s="5">
        <v>6</v>
      </c>
      <c r="K2" t="s" s="5">
        <v>36</v>
      </c>
    </row>
    <row r="3" ht="20.25" customHeight="1">
      <c r="B3" s="25">
        <v>2017</v>
      </c>
      <c r="C3" s="26">
        <v>350</v>
      </c>
      <c r="D3" s="27"/>
      <c r="E3" s="27">
        <v>24.75</v>
      </c>
      <c r="F3" s="27"/>
      <c r="G3" s="27">
        <v>-22</v>
      </c>
      <c r="H3" s="8"/>
      <c r="I3" s="9">
        <f>(E3+G3-F3-C3)/C3</f>
        <v>-0.992142857142857</v>
      </c>
      <c r="J3" s="9"/>
      <c r="K3" s="9"/>
    </row>
    <row r="4" ht="20.05" customHeight="1">
      <c r="B4" s="28"/>
      <c r="C4" s="15">
        <v>284</v>
      </c>
      <c r="D4" s="16"/>
      <c r="E4" s="16">
        <v>24.75</v>
      </c>
      <c r="F4" s="16"/>
      <c r="G4" s="16">
        <v>-38</v>
      </c>
      <c r="H4" s="12">
        <f>C4/C3-1</f>
        <v>-0.188571428571429</v>
      </c>
      <c r="I4" s="12">
        <f>(E4+G4-F4-C4)/C4</f>
        <v>-1.04665492957746</v>
      </c>
      <c r="J4" s="12"/>
      <c r="K4" s="12"/>
    </row>
    <row r="5" ht="20.05" customHeight="1">
      <c r="B5" s="28"/>
      <c r="C5" s="15">
        <v>406</v>
      </c>
      <c r="D5" s="16"/>
      <c r="E5" s="16">
        <v>24.75</v>
      </c>
      <c r="F5" s="16"/>
      <c r="G5" s="16">
        <v>-19</v>
      </c>
      <c r="H5" s="12">
        <f>C5/C4-1</f>
        <v>0.429577464788732</v>
      </c>
      <c r="I5" s="12">
        <f>(E5+G5-F5-C5)/C5</f>
        <v>-0.985837438423645</v>
      </c>
      <c r="J5" s="12"/>
      <c r="K5" s="12"/>
    </row>
    <row r="6" ht="20.05" customHeight="1">
      <c r="B6" s="28"/>
      <c r="C6" s="15">
        <v>409</v>
      </c>
      <c r="D6" s="16"/>
      <c r="E6" s="16">
        <v>24.75</v>
      </c>
      <c r="F6" s="16"/>
      <c r="G6" s="16">
        <v>-7</v>
      </c>
      <c r="H6" s="12">
        <f>C6/C5-1</f>
        <v>0.00738916256157635</v>
      </c>
      <c r="I6" s="12">
        <f>(E6+G6-F6-C6)/C6</f>
        <v>-0.956601466992665</v>
      </c>
      <c r="J6" s="12"/>
      <c r="K6" s="12"/>
    </row>
    <row r="7" ht="20.05" customHeight="1">
      <c r="B7" s="29">
        <v>2018</v>
      </c>
      <c r="C7" s="15">
        <v>486</v>
      </c>
      <c r="D7" s="16"/>
      <c r="E7" s="16">
        <v>11.5</v>
      </c>
      <c r="F7" s="16"/>
      <c r="G7" s="16">
        <v>-5</v>
      </c>
      <c r="H7" s="12">
        <f>C7/C6-1</f>
        <v>0.188264058679707</v>
      </c>
      <c r="I7" s="12">
        <f>(E7+G7-F7-C7)/C7</f>
        <v>-0.986625514403292</v>
      </c>
      <c r="J7" s="12">
        <f>AVERAGE(I4:I7)</f>
        <v>-0.993929837349266</v>
      </c>
      <c r="K7" s="12"/>
    </row>
    <row r="8" ht="20.05" customHeight="1">
      <c r="B8" s="28"/>
      <c r="C8" s="15">
        <v>368</v>
      </c>
      <c r="D8" s="16"/>
      <c r="E8" s="16">
        <v>11.5</v>
      </c>
      <c r="F8" s="16"/>
      <c r="G8" s="16">
        <v>-11</v>
      </c>
      <c r="H8" s="12">
        <f>C8/C7-1</f>
        <v>-0.242798353909465</v>
      </c>
      <c r="I8" s="12">
        <f>(E8+G8-F8-C8)/C8</f>
        <v>-0.9986413043478261</v>
      </c>
      <c r="J8" s="12">
        <f>AVERAGE(I5:I8)</f>
        <v>-0.981926431041857</v>
      </c>
      <c r="K8" s="12"/>
    </row>
    <row r="9" ht="20.05" customHeight="1">
      <c r="B9" s="28"/>
      <c r="C9" s="15">
        <v>422</v>
      </c>
      <c r="D9" s="16"/>
      <c r="E9" s="16">
        <v>11.5</v>
      </c>
      <c r="F9" s="16"/>
      <c r="G9" s="16">
        <v>-21</v>
      </c>
      <c r="H9" s="12">
        <f>C9/C8-1</f>
        <v>0.146739130434783</v>
      </c>
      <c r="I9" s="12">
        <f>(E9+G9-F9-C9)/C9</f>
        <v>-1.02251184834123</v>
      </c>
      <c r="J9" s="12">
        <f>AVERAGE(I6:I9)</f>
        <v>-0.9910950335212531</v>
      </c>
      <c r="K9" s="12"/>
    </row>
    <row r="10" ht="20.05" customHeight="1">
      <c r="B10" s="28"/>
      <c r="C10" s="15">
        <v>464</v>
      </c>
      <c r="D10" s="16"/>
      <c r="E10" s="16">
        <v>11.5</v>
      </c>
      <c r="F10" s="16"/>
      <c r="G10" s="16">
        <v>-40</v>
      </c>
      <c r="H10" s="12">
        <f>C10/C9-1</f>
        <v>0.0995260663507109</v>
      </c>
      <c r="I10" s="12">
        <f>(E10+G10-F10-C10)/C10</f>
        <v>-1.0614224137931</v>
      </c>
      <c r="J10" s="12">
        <f>AVERAGE(I7:I10)</f>
        <v>-1.01730027022136</v>
      </c>
      <c r="K10" s="12"/>
    </row>
    <row r="11" ht="20.05" customHeight="1">
      <c r="B11" s="29">
        <v>2019</v>
      </c>
      <c r="C11" s="15">
        <v>419</v>
      </c>
      <c r="D11" s="16"/>
      <c r="E11" s="16">
        <v>102.25</v>
      </c>
      <c r="F11" s="16"/>
      <c r="G11" s="16">
        <v>-64</v>
      </c>
      <c r="H11" s="12">
        <f>C11/C10-1</f>
        <v>-0.0969827586206897</v>
      </c>
      <c r="I11" s="12">
        <f>(E11+G11-F11-C11)/C11</f>
        <v>-0.908711217183771</v>
      </c>
      <c r="J11" s="12">
        <f>AVERAGE(I8:I11)</f>
        <v>-0.997821695916482</v>
      </c>
      <c r="K11" s="12"/>
    </row>
    <row r="12" ht="20.05" customHeight="1">
      <c r="B12" s="28"/>
      <c r="C12" s="15">
        <v>283</v>
      </c>
      <c r="D12" s="16"/>
      <c r="E12" s="16">
        <v>102.25</v>
      </c>
      <c r="F12" s="16"/>
      <c r="G12" s="16">
        <v>-74</v>
      </c>
      <c r="H12" s="12">
        <f>C12/C11-1</f>
        <v>-0.324582338902148</v>
      </c>
      <c r="I12" s="12">
        <f>(E12+G12-F12-C12)/C12</f>
        <v>-0.90017667844523</v>
      </c>
      <c r="J12" s="12">
        <f>AVERAGE(I9:I12)</f>
        <v>-0.973205539440833</v>
      </c>
      <c r="K12" s="12"/>
    </row>
    <row r="13" ht="20.05" customHeight="1">
      <c r="B13" s="28"/>
      <c r="C13" s="15">
        <v>351</v>
      </c>
      <c r="D13" s="16"/>
      <c r="E13" s="16">
        <v>102.25</v>
      </c>
      <c r="F13" s="16"/>
      <c r="G13" s="16">
        <v>-77</v>
      </c>
      <c r="H13" s="12">
        <f>C13/C12-1</f>
        <v>0.240282685512367</v>
      </c>
      <c r="I13" s="12">
        <f>(E13+G13-F13-C13)/C13</f>
        <v>-0.9280626780626779</v>
      </c>
      <c r="J13" s="12">
        <f>AVERAGE(I10:I13)</f>
        <v>-0.949593246871195</v>
      </c>
      <c r="K13" s="12"/>
    </row>
    <row r="14" ht="20.05" customHeight="1">
      <c r="B14" s="28"/>
      <c r="C14" s="15">
        <v>368</v>
      </c>
      <c r="D14" s="16"/>
      <c r="E14" s="16">
        <v>102.25</v>
      </c>
      <c r="F14" s="16"/>
      <c r="G14" s="16">
        <v>-290</v>
      </c>
      <c r="H14" s="12">
        <f>C14/C13-1</f>
        <v>0.0484330484330484</v>
      </c>
      <c r="I14" s="12">
        <f>(E14+G14-F14-C14)/C14</f>
        <v>-1.5101902173913</v>
      </c>
      <c r="J14" s="12">
        <f>AVERAGE(I11:I14)</f>
        <v>-1.06178519777074</v>
      </c>
      <c r="K14" s="12"/>
    </row>
    <row r="15" ht="20.05" customHeight="1">
      <c r="B15" s="29">
        <v>2020</v>
      </c>
      <c r="C15" s="15">
        <v>311</v>
      </c>
      <c r="D15" s="16"/>
      <c r="E15" s="16">
        <v>10.6</v>
      </c>
      <c r="F15" s="16">
        <v>-8.75</v>
      </c>
      <c r="G15" s="16">
        <v>80</v>
      </c>
      <c r="H15" s="12">
        <f>C15/C14-1</f>
        <v>-0.154891304347826</v>
      </c>
      <c r="I15" s="12">
        <f>(E15+G15-F15-C15)/C15</f>
        <v>-0.680546623794212</v>
      </c>
      <c r="J15" s="12">
        <f>AVERAGE(I12:I15)</f>
        <v>-1.00474404942336</v>
      </c>
      <c r="K15" s="12"/>
    </row>
    <row r="16" ht="20.05" customHeight="1">
      <c r="B16" s="28"/>
      <c r="C16" s="15">
        <v>242</v>
      </c>
      <c r="D16" s="16"/>
      <c r="E16" s="16">
        <v>10.6</v>
      </c>
      <c r="F16" s="16">
        <v>-8.75</v>
      </c>
      <c r="G16" s="16">
        <v>-75.3</v>
      </c>
      <c r="H16" s="12">
        <f>C16/C15-1</f>
        <v>-0.221864951768489</v>
      </c>
      <c r="I16" s="12">
        <f>(E16+G16-F16-C16)/C16</f>
        <v>-1.23119834710744</v>
      </c>
      <c r="J16" s="12">
        <f>AVERAGE(I13:I16)</f>
        <v>-1.08749946658891</v>
      </c>
      <c r="K16" s="12"/>
    </row>
    <row r="17" ht="20.05" customHeight="1">
      <c r="B17" s="28"/>
      <c r="C17" s="15">
        <v>386</v>
      </c>
      <c r="D17" s="16"/>
      <c r="E17" s="16">
        <v>10.6</v>
      </c>
      <c r="F17" s="16">
        <v>-8.75</v>
      </c>
      <c r="G17" s="16">
        <v>-30.7</v>
      </c>
      <c r="H17" s="12">
        <f>C17/C16-1</f>
        <v>0.59504132231405</v>
      </c>
      <c r="I17" s="12">
        <f>(E17+G17-F17-C17)/C17</f>
        <v>-1.02940414507772</v>
      </c>
      <c r="J17" s="12">
        <f>AVERAGE(I14:I17)</f>
        <v>-1.11283483334267</v>
      </c>
      <c r="K17" s="12"/>
    </row>
    <row r="18" ht="20.05" customHeight="1">
      <c r="B18" s="28"/>
      <c r="C18" s="15">
        <v>415</v>
      </c>
      <c r="D18" s="16"/>
      <c r="E18" s="16">
        <v>10.6</v>
      </c>
      <c r="F18" s="16">
        <v>-8.75</v>
      </c>
      <c r="G18" s="16">
        <v>49</v>
      </c>
      <c r="H18" s="12">
        <f>C18/C17-1</f>
        <v>0.07512953367875649</v>
      </c>
      <c r="I18" s="12">
        <f>(E18+G18-F18-C18)/C18</f>
        <v>-0.8353012048192771</v>
      </c>
      <c r="J18" s="12">
        <f>AVERAGE(I15:I18)</f>
        <v>-0.944112580199662</v>
      </c>
      <c r="K18" s="12"/>
    </row>
    <row r="19" ht="20.05" customHeight="1">
      <c r="B19" s="29">
        <v>2021</v>
      </c>
      <c r="C19" s="15">
        <v>484</v>
      </c>
      <c r="D19" s="16"/>
      <c r="E19" s="16">
        <v>11.75</v>
      </c>
      <c r="F19" s="16">
        <v>28.3333333333333</v>
      </c>
      <c r="G19" s="16">
        <v>23</v>
      </c>
      <c r="H19" s="12">
        <f>C19/C18-1</f>
        <v>0.166265060240964</v>
      </c>
      <c r="I19" s="12">
        <f>(E19+G19-F19-C19)/C19</f>
        <v>-0.986742424242424</v>
      </c>
      <c r="J19" s="12">
        <f>AVERAGE(I16:I19)</f>
        <v>-1.02066153031172</v>
      </c>
      <c r="K19" s="12"/>
    </row>
    <row r="20" ht="20.05" customHeight="1">
      <c r="B20" s="28"/>
      <c r="C20" s="30">
        <v>571</v>
      </c>
      <c r="D20" s="16"/>
      <c r="E20" s="16">
        <v>11.75</v>
      </c>
      <c r="F20" s="16">
        <v>28.3333333333333</v>
      </c>
      <c r="G20" s="16">
        <v>10</v>
      </c>
      <c r="H20" s="12">
        <f>C20/C19-1</f>
        <v>0.179752066115702</v>
      </c>
      <c r="I20" s="12">
        <f>(E20+G20-F20-C20)/C20</f>
        <v>-1.01152948044367</v>
      </c>
      <c r="J20" s="12">
        <f>AVERAGE(I17:I20)</f>
        <v>-0.965744313645773</v>
      </c>
      <c r="K20" s="12"/>
    </row>
    <row r="21" ht="20.05" customHeight="1">
      <c r="B21" s="28"/>
      <c r="C21" s="30">
        <f>1610.1-SUM(C19:C20)</f>
        <v>555.1</v>
      </c>
      <c r="D21" s="16">
        <v>628.1</v>
      </c>
      <c r="E21" s="16">
        <v>11.75</v>
      </c>
      <c r="F21" s="31">
        <v>28.3333333333333</v>
      </c>
      <c r="G21" s="31">
        <f>59.5-SUM(G19:G20)</f>
        <v>26.5</v>
      </c>
      <c r="H21" s="12">
        <f>C21/C20-1</f>
        <v>-0.02784588441331</v>
      </c>
      <c r="I21" s="12">
        <f>(E21+G21-F21-C21)/C21</f>
        <v>-0.98213535098781</v>
      </c>
      <c r="J21" s="12">
        <f>AVERAGE(I18:I21)</f>
        <v>-0.953927115123295</v>
      </c>
      <c r="K21" s="12"/>
    </row>
    <row r="22" ht="20.05" customHeight="1">
      <c r="B22" s="28"/>
      <c r="C22" s="30">
        <f>2156-C21-C20-C19</f>
        <v>545.9</v>
      </c>
      <c r="D22" s="16">
        <v>582.855</v>
      </c>
      <c r="E22" s="16">
        <v>11.75</v>
      </c>
      <c r="F22" s="31">
        <f>120-F21-F20-F19</f>
        <v>35.0000000000001</v>
      </c>
      <c r="G22" s="31">
        <f>62-G21-G20-G19</f>
        <v>2.5</v>
      </c>
      <c r="H22" s="12">
        <f>C22/C21-1</f>
        <v>-0.0165735903440821</v>
      </c>
      <c r="I22" s="12">
        <f>(E22+G22-F22-C22)/C22</f>
        <v>-1.03801062465653</v>
      </c>
      <c r="J22" s="12">
        <f>AVERAGE(I19:I22)</f>
        <v>-1.00460447008261</v>
      </c>
      <c r="K22" s="18"/>
    </row>
    <row r="23" ht="20.05" customHeight="1">
      <c r="B23" s="29">
        <v>2022</v>
      </c>
      <c r="C23" s="30">
        <v>676</v>
      </c>
      <c r="D23" s="16">
        <v>566.202</v>
      </c>
      <c r="E23" s="31">
        <v>16.5</v>
      </c>
      <c r="F23" s="31">
        <v>21.1</v>
      </c>
      <c r="G23" s="31">
        <v>26.5</v>
      </c>
      <c r="H23" s="12">
        <f>C23/C22-1</f>
        <v>0.238322037003114</v>
      </c>
      <c r="I23" s="12">
        <f>(E23+G23-F23-C23)/C23</f>
        <v>-0.967603550295858</v>
      </c>
      <c r="J23" s="12">
        <f>AVERAGE(I20:I23)</f>
        <v>-0.999819751595967</v>
      </c>
      <c r="K23" s="12">
        <v>-0.953927115123295</v>
      </c>
    </row>
    <row r="24" ht="20.05" customHeight="1">
      <c r="B24" s="28"/>
      <c r="C24" s="30"/>
      <c r="D24" s="16">
        <f>'Model'!C6</f>
        <v>709.8</v>
      </c>
      <c r="E24" s="31"/>
      <c r="F24" s="31"/>
      <c r="G24" s="31"/>
      <c r="H24" s="32"/>
      <c r="I24" s="33"/>
      <c r="J24" s="33"/>
      <c r="K24" s="12">
        <f>'Model'!C7</f>
        <v>-0.967603550295858</v>
      </c>
    </row>
    <row r="25" ht="20.05" customHeight="1">
      <c r="B25" s="28"/>
      <c r="C25" s="30"/>
      <c r="D25" s="16">
        <f>'Model'!D6</f>
        <v>745.29</v>
      </c>
      <c r="E25" s="31"/>
      <c r="F25" s="31"/>
      <c r="G25" s="31"/>
      <c r="H25" s="32"/>
      <c r="I25" s="33"/>
      <c r="J25" s="33"/>
      <c r="K25" s="33"/>
    </row>
    <row r="26" ht="20.05" customHeight="1">
      <c r="B26" s="28"/>
      <c r="C26" s="30"/>
      <c r="D26" s="31">
        <f>'Model'!E6</f>
        <v>782.5545</v>
      </c>
      <c r="E26" s="31">
        <f>SUM(C21:C23)</f>
        <v>1777</v>
      </c>
      <c r="F26" s="31">
        <f>SUM(D21:D23)</f>
        <v>1777.157</v>
      </c>
      <c r="G26" s="31"/>
      <c r="H26" s="32"/>
      <c r="I26" s="33"/>
      <c r="J26" s="33"/>
      <c r="K26" s="33"/>
    </row>
    <row r="27" ht="20.05" customHeight="1">
      <c r="B27" s="29">
        <v>2023</v>
      </c>
      <c r="C27" s="30"/>
      <c r="D27" s="31">
        <f>'Model'!F6</f>
        <v>782.5545</v>
      </c>
      <c r="E27" s="31"/>
      <c r="F27" s="31"/>
      <c r="G27" s="31"/>
      <c r="H27" s="32"/>
      <c r="I27" s="33"/>
      <c r="J27" s="33"/>
      <c r="K27" s="33"/>
    </row>
  </sheetData>
  <mergeCells count="1">
    <mergeCell ref="B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4" customWidth="1"/>
    <col min="2" max="2" width="9.5625" style="34" customWidth="1"/>
    <col min="3" max="15" width="10.3672" style="34" customWidth="1"/>
    <col min="16" max="16384" width="16.3516" style="34" customWidth="1"/>
  </cols>
  <sheetData>
    <row r="1" ht="13.8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1</v>
      </c>
      <c r="C3" t="s" s="5">
        <v>47</v>
      </c>
      <c r="D3" t="s" s="5">
        <v>8</v>
      </c>
      <c r="E3" t="s" s="5">
        <v>9</v>
      </c>
      <c r="F3" t="s" s="5">
        <v>48</v>
      </c>
      <c r="G3" t="s" s="5">
        <v>11</v>
      </c>
      <c r="H3" t="s" s="5">
        <v>14</v>
      </c>
      <c r="I3" t="s" s="5">
        <v>10</v>
      </c>
      <c r="J3" t="s" s="5">
        <v>49</v>
      </c>
      <c r="K3" t="s" s="5">
        <v>3</v>
      </c>
      <c r="L3" t="s" s="5">
        <v>36</v>
      </c>
      <c r="M3" t="s" s="5">
        <v>30</v>
      </c>
      <c r="N3" t="s" s="5">
        <v>36</v>
      </c>
      <c r="O3" s="35"/>
    </row>
    <row r="4" ht="21.2" customHeight="1">
      <c r="B4" s="25">
        <v>2017</v>
      </c>
      <c r="C4" s="26">
        <v>392</v>
      </c>
      <c r="D4" s="27">
        <v>-14</v>
      </c>
      <c r="E4" s="27">
        <v>-10</v>
      </c>
      <c r="F4" s="27">
        <v>-26</v>
      </c>
      <c r="G4" s="27"/>
      <c r="H4" s="27"/>
      <c r="I4" s="27">
        <v>41</v>
      </c>
      <c r="J4" s="36">
        <f>F4+E4+D4</f>
        <v>-50</v>
      </c>
      <c r="K4" s="36">
        <f>AVERAGE(J4:J4)</f>
        <v>-50</v>
      </c>
      <c r="L4" s="27"/>
      <c r="M4" s="27">
        <f>-(I4-F4)</f>
        <v>-67</v>
      </c>
      <c r="N4" s="27"/>
      <c r="O4" s="27">
        <v>1</v>
      </c>
    </row>
    <row r="5" ht="21.2" customHeight="1">
      <c r="B5" s="28"/>
      <c r="C5" s="15">
        <v>314</v>
      </c>
      <c r="D5" s="16">
        <v>-11</v>
      </c>
      <c r="E5" s="16">
        <v>-42</v>
      </c>
      <c r="F5" s="16">
        <v>-17</v>
      </c>
      <c r="G5" s="16"/>
      <c r="H5" s="16"/>
      <c r="I5" s="16">
        <v>51</v>
      </c>
      <c r="J5" s="14">
        <f>F5+E5+D5</f>
        <v>-70</v>
      </c>
      <c r="K5" s="14">
        <f>AVERAGE(J4:J5)</f>
        <v>-60</v>
      </c>
      <c r="L5" s="16"/>
      <c r="M5" s="16">
        <f>-(I5-F5)+M4</f>
        <v>-135</v>
      </c>
      <c r="N5" s="16"/>
      <c r="O5" s="16">
        <f>1+O4</f>
        <v>2</v>
      </c>
    </row>
    <row r="6" ht="21.2" customHeight="1">
      <c r="B6" s="28"/>
      <c r="C6" s="15">
        <v>439</v>
      </c>
      <c r="D6" s="16">
        <v>152</v>
      </c>
      <c r="E6" s="16">
        <v>-15</v>
      </c>
      <c r="F6" s="16">
        <v>-30</v>
      </c>
      <c r="G6" s="16"/>
      <c r="H6" s="16"/>
      <c r="I6" s="16">
        <v>-143</v>
      </c>
      <c r="J6" s="14">
        <f>F6+E6+D6</f>
        <v>107</v>
      </c>
      <c r="K6" s="14">
        <f>AVERAGE(J4:J6)</f>
        <v>-4.33333333333333</v>
      </c>
      <c r="L6" s="16"/>
      <c r="M6" s="16">
        <f>-(I6-F6)+M5</f>
        <v>-22</v>
      </c>
      <c r="N6" s="16"/>
      <c r="O6" s="16">
        <f>1+O5</f>
        <v>3</v>
      </c>
    </row>
    <row r="7" ht="21.2" customHeight="1">
      <c r="B7" s="28"/>
      <c r="C7" s="15">
        <v>446</v>
      </c>
      <c r="D7" s="16">
        <v>77</v>
      </c>
      <c r="E7" s="16">
        <v>-85</v>
      </c>
      <c r="F7" s="16">
        <v>-12</v>
      </c>
      <c r="G7" s="16"/>
      <c r="H7" s="16"/>
      <c r="I7" s="16">
        <v>12</v>
      </c>
      <c r="J7" s="14">
        <f>F7+E7+D7</f>
        <v>-20</v>
      </c>
      <c r="K7" s="14">
        <f>AVERAGE(J4:J7)</f>
        <v>-8.25</v>
      </c>
      <c r="L7" s="16"/>
      <c r="M7" s="16">
        <f>-(I7-F7)+M6</f>
        <v>-46</v>
      </c>
      <c r="N7" s="16"/>
      <c r="O7" s="16">
        <f>1+O6</f>
        <v>4</v>
      </c>
    </row>
    <row r="8" ht="21.2" customHeight="1">
      <c r="B8" s="29">
        <v>2018</v>
      </c>
      <c r="C8" s="15">
        <v>452</v>
      </c>
      <c r="D8" s="16">
        <v>-45</v>
      </c>
      <c r="E8" s="16">
        <v>-46</v>
      </c>
      <c r="F8" s="16">
        <v>-17</v>
      </c>
      <c r="G8" s="16"/>
      <c r="H8" s="16"/>
      <c r="I8" s="16">
        <v>65</v>
      </c>
      <c r="J8" s="14">
        <f>F8+E8+D8</f>
        <v>-108</v>
      </c>
      <c r="K8" s="14">
        <f>AVERAGE(J5:J8)</f>
        <v>-22.75</v>
      </c>
      <c r="L8" s="16"/>
      <c r="M8" s="16">
        <f>-(I8-F8)+M7</f>
        <v>-128</v>
      </c>
      <c r="N8" s="16"/>
      <c r="O8" s="16">
        <f>1+O7</f>
        <v>5</v>
      </c>
    </row>
    <row r="9" ht="21.2" customHeight="1">
      <c r="B9" s="28"/>
      <c r="C9" s="15">
        <v>395</v>
      </c>
      <c r="D9" s="16">
        <v>-149</v>
      </c>
      <c r="E9" s="16">
        <v>-3</v>
      </c>
      <c r="F9" s="16">
        <v>-14</v>
      </c>
      <c r="G9" s="16"/>
      <c r="H9" s="16"/>
      <c r="I9" s="16">
        <v>126</v>
      </c>
      <c r="J9" s="14">
        <f>F9+E9+D9</f>
        <v>-166</v>
      </c>
      <c r="K9" s="14">
        <f>AVERAGE(J6:J9)</f>
        <v>-46.75</v>
      </c>
      <c r="L9" s="16"/>
      <c r="M9" s="16">
        <f>-(I9-F9)+M8</f>
        <v>-268</v>
      </c>
      <c r="N9" s="16"/>
      <c r="O9" s="16">
        <f>1+O8</f>
        <v>6</v>
      </c>
    </row>
    <row r="10" ht="21.2" customHeight="1">
      <c r="B10" s="28"/>
      <c r="C10" s="15">
        <v>433</v>
      </c>
      <c r="D10" s="16">
        <v>34</v>
      </c>
      <c r="E10" s="16">
        <v>-97</v>
      </c>
      <c r="F10" s="16">
        <v>-20</v>
      </c>
      <c r="G10" s="16"/>
      <c r="H10" s="16"/>
      <c r="I10" s="16">
        <v>15</v>
      </c>
      <c r="J10" s="14">
        <f>F10+E10+D10</f>
        <v>-83</v>
      </c>
      <c r="K10" s="14">
        <f>AVERAGE(J7:J10)</f>
        <v>-94.25</v>
      </c>
      <c r="L10" s="16"/>
      <c r="M10" s="16">
        <f>-(I10-F10)+M9</f>
        <v>-303</v>
      </c>
      <c r="N10" s="16"/>
      <c r="O10" s="16">
        <f>1+O9</f>
        <v>7</v>
      </c>
    </row>
    <row r="11" ht="21.2" customHeight="1">
      <c r="B11" s="28"/>
      <c r="C11" s="15">
        <v>597</v>
      </c>
      <c r="D11" s="16">
        <v>80</v>
      </c>
      <c r="E11" s="16">
        <v>-128</v>
      </c>
      <c r="F11" s="16">
        <v>-36</v>
      </c>
      <c r="G11" s="16"/>
      <c r="H11" s="16"/>
      <c r="I11" s="16">
        <v>36</v>
      </c>
      <c r="J11" s="14">
        <f>F11+E11+D11</f>
        <v>-84</v>
      </c>
      <c r="K11" s="14">
        <f>AVERAGE(J8:J11)</f>
        <v>-110.25</v>
      </c>
      <c r="L11" s="16"/>
      <c r="M11" s="16">
        <f>-(I11-F11)+M10</f>
        <v>-375</v>
      </c>
      <c r="N11" s="16"/>
      <c r="O11" s="16">
        <f>1+O10</f>
        <v>8</v>
      </c>
    </row>
    <row r="12" ht="21.2" customHeight="1">
      <c r="B12" s="29">
        <v>2019</v>
      </c>
      <c r="C12" s="15">
        <v>697</v>
      </c>
      <c r="D12" s="16">
        <v>-8</v>
      </c>
      <c r="E12" s="16">
        <v>20</v>
      </c>
      <c r="F12" s="16">
        <v>-29</v>
      </c>
      <c r="G12" s="16"/>
      <c r="H12" s="16"/>
      <c r="I12" s="16">
        <v>-40</v>
      </c>
      <c r="J12" s="14">
        <f>F12+E12+D12</f>
        <v>-17</v>
      </c>
      <c r="K12" s="14">
        <f>AVERAGE(J9:J12)</f>
        <v>-87.5</v>
      </c>
      <c r="L12" s="16"/>
      <c r="M12" s="16">
        <f>-(I12-F12)+M11</f>
        <v>-364</v>
      </c>
      <c r="N12" s="16"/>
      <c r="O12" s="16">
        <f>1+O11</f>
        <v>9</v>
      </c>
    </row>
    <row r="13" ht="21.2" customHeight="1">
      <c r="B13" s="28"/>
      <c r="C13" s="15">
        <v>199</v>
      </c>
      <c r="D13" s="16">
        <v>122</v>
      </c>
      <c r="E13" s="16">
        <v>-104</v>
      </c>
      <c r="F13" s="16">
        <v>-7</v>
      </c>
      <c r="G13" s="16"/>
      <c r="H13" s="16"/>
      <c r="I13" s="16">
        <v>9</v>
      </c>
      <c r="J13" s="14">
        <f>F13+E13+D13</f>
        <v>11</v>
      </c>
      <c r="K13" s="14">
        <f>AVERAGE(J10:J13)</f>
        <v>-43.25</v>
      </c>
      <c r="L13" s="16"/>
      <c r="M13" s="16">
        <f>-(I13-F13)+M12</f>
        <v>-380</v>
      </c>
      <c r="N13" s="16"/>
      <c r="O13" s="16">
        <f>1+O12</f>
        <v>10</v>
      </c>
    </row>
    <row r="14" ht="21.2" customHeight="1">
      <c r="B14" s="28"/>
      <c r="C14" s="15">
        <v>338</v>
      </c>
      <c r="D14" s="16">
        <v>8</v>
      </c>
      <c r="E14" s="16">
        <v>-74</v>
      </c>
      <c r="F14" s="16">
        <v>-30</v>
      </c>
      <c r="G14" s="16"/>
      <c r="H14" s="16"/>
      <c r="I14" s="16">
        <v>31</v>
      </c>
      <c r="J14" s="14">
        <f>F14+E14+D14</f>
        <v>-96</v>
      </c>
      <c r="K14" s="14">
        <f>AVERAGE(J11:J14)</f>
        <v>-46.5</v>
      </c>
      <c r="L14" s="16"/>
      <c r="M14" s="16">
        <f>-(I14-F14)+M13</f>
        <v>-441</v>
      </c>
      <c r="N14" s="16"/>
      <c r="O14" s="16">
        <f>1+O13</f>
        <v>11</v>
      </c>
    </row>
    <row r="15" ht="21.2" customHeight="1">
      <c r="B15" s="28"/>
      <c r="C15" s="15">
        <v>207</v>
      </c>
      <c r="D15" s="16">
        <v>54</v>
      </c>
      <c r="E15" s="16">
        <v>-79</v>
      </c>
      <c r="F15" s="16">
        <v>-55</v>
      </c>
      <c r="G15" s="16"/>
      <c r="H15" s="16"/>
      <c r="I15" s="16">
        <v>12</v>
      </c>
      <c r="J15" s="14">
        <f>F15+E15+D15</f>
        <v>-80</v>
      </c>
      <c r="K15" s="14">
        <f>AVERAGE(J12:J15)</f>
        <v>-45.5</v>
      </c>
      <c r="L15" s="16"/>
      <c r="M15" s="16">
        <f>-(I15-F15)+M14</f>
        <v>-508</v>
      </c>
      <c r="N15" s="16"/>
      <c r="O15" s="16">
        <f>1+O14</f>
        <v>12</v>
      </c>
    </row>
    <row r="16" ht="21.2" customHeight="1">
      <c r="B16" s="29">
        <v>2020</v>
      </c>
      <c r="C16" s="15">
        <v>341</v>
      </c>
      <c r="D16" s="16">
        <v>10</v>
      </c>
      <c r="E16" s="16">
        <v>17</v>
      </c>
      <c r="F16" s="16">
        <v>-33</v>
      </c>
      <c r="G16" s="16"/>
      <c r="H16" s="16"/>
      <c r="I16" s="16">
        <v>-89</v>
      </c>
      <c r="J16" s="14">
        <f>F16+E16+D16</f>
        <v>-6</v>
      </c>
      <c r="K16" s="14">
        <f>AVERAGE(J13:J16)</f>
        <v>-42.75</v>
      </c>
      <c r="L16" s="16"/>
      <c r="M16" s="16">
        <f>-(I16-F16)+M15</f>
        <v>-452</v>
      </c>
      <c r="N16" s="16"/>
      <c r="O16" s="16">
        <f>1+O15</f>
        <v>13</v>
      </c>
    </row>
    <row r="17" ht="21.2" customHeight="1">
      <c r="B17" s="28"/>
      <c r="C17" s="15">
        <v>14</v>
      </c>
      <c r="D17" s="16">
        <v>-28</v>
      </c>
      <c r="E17" s="16">
        <v>-14</v>
      </c>
      <c r="F17" s="16">
        <v>37</v>
      </c>
      <c r="G17" s="16"/>
      <c r="H17" s="16"/>
      <c r="I17" s="16">
        <v>138</v>
      </c>
      <c r="J17" s="14">
        <f>F17+E17+D17</f>
        <v>-5</v>
      </c>
      <c r="K17" s="14">
        <f>AVERAGE(J14:J17)</f>
        <v>-46.75</v>
      </c>
      <c r="L17" s="16"/>
      <c r="M17" s="16">
        <f>-(I17-F17)+M16</f>
        <v>-553</v>
      </c>
      <c r="N17" s="16"/>
      <c r="O17" s="16">
        <f>1+O16</f>
        <v>14</v>
      </c>
    </row>
    <row r="18" ht="21.2" customHeight="1">
      <c r="B18" s="28"/>
      <c r="C18" s="15">
        <v>631</v>
      </c>
      <c r="D18" s="16">
        <v>63</v>
      </c>
      <c r="E18" s="16">
        <v>2</v>
      </c>
      <c r="F18" s="16">
        <v>-37</v>
      </c>
      <c r="G18" s="16"/>
      <c r="H18" s="16"/>
      <c r="I18" s="16">
        <v>-128</v>
      </c>
      <c r="J18" s="14">
        <f>F18+E18+D18</f>
        <v>28</v>
      </c>
      <c r="K18" s="14">
        <f>AVERAGE(J15:J18)</f>
        <v>-15.75</v>
      </c>
      <c r="L18" s="16"/>
      <c r="M18" s="16">
        <f>-(I18-F18)+M17</f>
        <v>-462</v>
      </c>
      <c r="N18" s="16"/>
      <c r="O18" s="16">
        <f>1+O17</f>
        <v>15</v>
      </c>
    </row>
    <row r="19" ht="21.2" customHeight="1">
      <c r="B19" s="28"/>
      <c r="C19" s="15">
        <v>346</v>
      </c>
      <c r="D19" s="16">
        <v>26</v>
      </c>
      <c r="E19" s="16">
        <v>-209</v>
      </c>
      <c r="F19" s="16">
        <v>-37</v>
      </c>
      <c r="G19" s="16"/>
      <c r="H19" s="16"/>
      <c r="I19" s="16">
        <v>199</v>
      </c>
      <c r="J19" s="14">
        <f>F19+E19+D19</f>
        <v>-220</v>
      </c>
      <c r="K19" s="14">
        <f>AVERAGE(J16:J19)</f>
        <v>-50.75</v>
      </c>
      <c r="L19" s="16"/>
      <c r="M19" s="16">
        <f>-(I19-F19)+M18</f>
        <v>-698</v>
      </c>
      <c r="N19" s="16"/>
      <c r="O19" s="16">
        <f>1+O18</f>
        <v>16</v>
      </c>
    </row>
    <row r="20" ht="21.2" customHeight="1">
      <c r="B20" s="29">
        <v>2021</v>
      </c>
      <c r="C20" s="15">
        <v>506</v>
      </c>
      <c r="D20" s="16">
        <v>24</v>
      </c>
      <c r="E20" s="16">
        <v>55</v>
      </c>
      <c r="F20" s="16">
        <v>-8</v>
      </c>
      <c r="G20" s="16">
        <f>-67.864-F20</f>
        <v>-59.864</v>
      </c>
      <c r="H20" s="16"/>
      <c r="I20" s="16">
        <v>-70</v>
      </c>
      <c r="J20" s="14">
        <f>F20+E20+D20</f>
        <v>71</v>
      </c>
      <c r="K20" s="14">
        <f>AVERAGE(J17:J20)</f>
        <v>-31.5</v>
      </c>
      <c r="L20" s="16"/>
      <c r="M20" s="16">
        <f>-(I20-F20)+M19</f>
        <v>-636</v>
      </c>
      <c r="N20" s="16"/>
      <c r="O20" s="16">
        <f>1+O19</f>
        <v>17</v>
      </c>
    </row>
    <row r="21" ht="21.2" customHeight="1">
      <c r="B21" s="28"/>
      <c r="C21" s="15">
        <v>592</v>
      </c>
      <c r="D21" s="16">
        <v>-41</v>
      </c>
      <c r="E21" s="16">
        <v>-42</v>
      </c>
      <c r="F21" s="16">
        <v>-11</v>
      </c>
      <c r="G21" s="16">
        <f>-32.82-F21-F20-G20</f>
        <v>46.044</v>
      </c>
      <c r="H21" s="16"/>
      <c r="I21" s="16">
        <v>37</v>
      </c>
      <c r="J21" s="14">
        <f>F21+E21+D21</f>
        <v>-94</v>
      </c>
      <c r="K21" s="14">
        <f>AVERAGE(J18:J21)</f>
        <v>-53.75</v>
      </c>
      <c r="L21" s="16"/>
      <c r="M21" s="16">
        <f>-(I21-F21)+M20</f>
        <v>-684</v>
      </c>
      <c r="N21" s="16"/>
      <c r="O21" s="16">
        <f>1+O20</f>
        <v>18</v>
      </c>
    </row>
    <row r="22" ht="21.2" customHeight="1">
      <c r="B22" s="28"/>
      <c r="C22" s="15">
        <f>1773.5-SUM(C20:C21)</f>
        <v>675.5</v>
      </c>
      <c r="D22" s="16">
        <f>-50.3-SUM(D20:D21)</f>
        <v>-33.3</v>
      </c>
      <c r="E22" s="16">
        <f>-20.7-SUM(E20:E21)</f>
        <v>-33.7</v>
      </c>
      <c r="F22" s="16">
        <f>-33.5-SUM(F20:F21)</f>
        <v>-14.5</v>
      </c>
      <c r="G22" s="16">
        <f>55.539-F22-F21-F20-G21-G20</f>
        <v>102.859</v>
      </c>
      <c r="H22" s="16"/>
      <c r="I22" s="16">
        <f>55.5-SUM(I20:I21)</f>
        <v>88.5</v>
      </c>
      <c r="J22" s="14">
        <f>F22+E22+D22</f>
        <v>-81.5</v>
      </c>
      <c r="K22" s="14">
        <f>AVERAGE(J19:J22)</f>
        <v>-81.125</v>
      </c>
      <c r="L22" s="16"/>
      <c r="M22" s="16">
        <f>-(I22-F22)+M21</f>
        <v>-787</v>
      </c>
      <c r="N22" s="16"/>
      <c r="O22" s="16">
        <f>1+O21</f>
        <v>19</v>
      </c>
    </row>
    <row r="23" ht="21.2" customHeight="1">
      <c r="B23" s="28"/>
      <c r="C23" s="15">
        <f>2357-C22-C21-C20</f>
        <v>583.5</v>
      </c>
      <c r="D23" s="16">
        <f>119.9+D22-D21-D20</f>
        <v>103.6</v>
      </c>
      <c r="E23" s="16">
        <f>-75-E22-E21-E20</f>
        <v>-54.3</v>
      </c>
      <c r="F23" s="16">
        <f>-67.7-F22-F21-F20</f>
        <v>-34.2</v>
      </c>
      <c r="G23" s="16">
        <f>64-215+198-46-G22-G21-G20</f>
        <v>-88.039</v>
      </c>
      <c r="H23" s="16"/>
      <c r="I23" s="16">
        <f>-72.2-I22-I21-I20</f>
        <v>-127.7</v>
      </c>
      <c r="J23" s="14">
        <f>F23+E23+D23</f>
        <v>15.1</v>
      </c>
      <c r="K23" s="14">
        <f>AVERAGE(J20:J23)</f>
        <v>-22.35</v>
      </c>
      <c r="L23" s="16"/>
      <c r="M23" s="16">
        <f>-(I23-F23)+M22</f>
        <v>-693.5</v>
      </c>
      <c r="N23" s="16"/>
      <c r="O23" s="16">
        <f>1+O22</f>
        <v>20</v>
      </c>
    </row>
    <row r="24" ht="21.2" customHeight="1">
      <c r="B24" s="29">
        <v>2022</v>
      </c>
      <c r="C24" s="15">
        <v>524.4</v>
      </c>
      <c r="D24" s="16">
        <v>67</v>
      </c>
      <c r="E24" s="16">
        <v>-14.6</v>
      </c>
      <c r="F24" s="16">
        <v>-9.300000000000001</v>
      </c>
      <c r="G24" s="16">
        <f>I24-H24-F24</f>
        <v>-2</v>
      </c>
      <c r="H24" s="16">
        <v>0</v>
      </c>
      <c r="I24" s="16">
        <v>-11.3</v>
      </c>
      <c r="J24" s="14">
        <f>F24+E24+D24</f>
        <v>43.1</v>
      </c>
      <c r="K24" s="14">
        <f>AVERAGE(J21:J24)</f>
        <v>-29.325</v>
      </c>
      <c r="L24" s="16">
        <v>10.873244875708</v>
      </c>
      <c r="M24" s="16">
        <f>-(I24-F24)+M23</f>
        <v>-691.5</v>
      </c>
      <c r="N24" s="16">
        <v>-657.186693852883</v>
      </c>
      <c r="O24" s="16">
        <f>1+O23</f>
        <v>21</v>
      </c>
    </row>
    <row r="25" ht="21.2" customHeight="1">
      <c r="B25" s="28"/>
      <c r="C25" s="15"/>
      <c r="D25" s="16"/>
      <c r="E25" s="16"/>
      <c r="F25" s="16"/>
      <c r="G25" s="16"/>
      <c r="H25" s="16"/>
      <c r="I25" s="16"/>
      <c r="J25" s="14"/>
      <c r="K25" s="18"/>
      <c r="L25" s="14">
        <f>SUM('Model'!F9:F10)</f>
        <v>10.7519875</v>
      </c>
      <c r="M25" s="18"/>
      <c r="N25" s="16">
        <f>'Model'!F35</f>
        <v>-652.056275</v>
      </c>
      <c r="O25" s="16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7" customWidth="1"/>
    <col min="2" max="11" width="9.21875" style="37" customWidth="1"/>
    <col min="12" max="16384" width="16.3516" style="37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23</v>
      </c>
      <c r="F3" t="s" s="5">
        <v>24</v>
      </c>
      <c r="G3" t="s" s="5">
        <v>11</v>
      </c>
      <c r="H3" t="s" s="5">
        <v>14</v>
      </c>
      <c r="I3" t="s" s="5">
        <v>52</v>
      </c>
      <c r="J3" t="s" s="5">
        <v>27</v>
      </c>
      <c r="K3" t="s" s="5">
        <v>36</v>
      </c>
    </row>
    <row r="4" ht="20.25" customHeight="1">
      <c r="B4" s="25">
        <v>2018</v>
      </c>
      <c r="C4" s="26">
        <v>255</v>
      </c>
      <c r="D4" s="27">
        <v>4105</v>
      </c>
      <c r="E4" s="27">
        <f>D4-C4</f>
        <v>3850</v>
      </c>
      <c r="F4" s="27"/>
      <c r="G4" s="27">
        <v>2281</v>
      </c>
      <c r="H4" s="27">
        <v>1824</v>
      </c>
      <c r="I4" s="27">
        <f>G4+H4-C4-E4</f>
        <v>0</v>
      </c>
      <c r="J4" s="27">
        <f>C4-G4</f>
        <v>-2026</v>
      </c>
      <c r="K4" s="27"/>
    </row>
    <row r="5" ht="20.05" customHeight="1">
      <c r="B5" s="28"/>
      <c r="C5" s="15">
        <v>228</v>
      </c>
      <c r="D5" s="16">
        <v>4140</v>
      </c>
      <c r="E5" s="16">
        <f>D5-C5</f>
        <v>3912</v>
      </c>
      <c r="F5" s="16"/>
      <c r="G5" s="16">
        <v>2392</v>
      </c>
      <c r="H5" s="16">
        <v>1748</v>
      </c>
      <c r="I5" s="16">
        <f>G5+H5-C5-E5</f>
        <v>0</v>
      </c>
      <c r="J5" s="16">
        <f>C5-G5</f>
        <v>-2164</v>
      </c>
      <c r="K5" s="16"/>
    </row>
    <row r="6" ht="20.05" customHeight="1">
      <c r="B6" s="28"/>
      <c r="C6" s="15">
        <v>180</v>
      </c>
      <c r="D6" s="16">
        <v>4036</v>
      </c>
      <c r="E6" s="16">
        <f>D6-C6</f>
        <v>3856</v>
      </c>
      <c r="F6" s="16"/>
      <c r="G6" s="16">
        <v>2357</v>
      </c>
      <c r="H6" s="16">
        <v>1678</v>
      </c>
      <c r="I6" s="16">
        <f>G6+H6-C6-E6</f>
        <v>-1</v>
      </c>
      <c r="J6" s="16">
        <f>C6-G6</f>
        <v>-2177</v>
      </c>
      <c r="K6" s="16"/>
    </row>
    <row r="7" ht="20.05" customHeight="1">
      <c r="B7" s="28"/>
      <c r="C7" s="15">
        <v>173</v>
      </c>
      <c r="D7" s="16">
        <v>4298</v>
      </c>
      <c r="E7" s="16">
        <f>D7-C7</f>
        <v>4125</v>
      </c>
      <c r="F7" s="16"/>
      <c r="G7" s="16">
        <v>2498</v>
      </c>
      <c r="H7" s="16">
        <v>1800</v>
      </c>
      <c r="I7" s="16">
        <f>G7+H7-C7-E7</f>
        <v>0</v>
      </c>
      <c r="J7" s="16">
        <f>C7-G7</f>
        <v>-2325</v>
      </c>
      <c r="K7" s="16"/>
    </row>
    <row r="8" ht="20.05" customHeight="1">
      <c r="B8" s="29">
        <v>2019</v>
      </c>
      <c r="C8" s="15">
        <v>72</v>
      </c>
      <c r="D8" s="16">
        <v>4162</v>
      </c>
      <c r="E8" s="16">
        <f>D8-C8</f>
        <v>4090</v>
      </c>
      <c r="F8" s="16"/>
      <c r="G8" s="16">
        <v>2401</v>
      </c>
      <c r="H8" s="16">
        <v>1761</v>
      </c>
      <c r="I8" s="16">
        <f>G8+H8-C8-E8</f>
        <v>0</v>
      </c>
      <c r="J8" s="16">
        <f>C8-G8</f>
        <v>-2329</v>
      </c>
      <c r="K8" s="16"/>
    </row>
    <row r="9" ht="20.05" customHeight="1">
      <c r="B9" s="28"/>
      <c r="C9" s="15">
        <v>172</v>
      </c>
      <c r="D9" s="16">
        <v>4271</v>
      </c>
      <c r="E9" s="16">
        <f>D9-C9</f>
        <v>4099</v>
      </c>
      <c r="F9" s="16"/>
      <c r="G9" s="16">
        <v>2572</v>
      </c>
      <c r="H9" s="16">
        <v>1699</v>
      </c>
      <c r="I9" s="16">
        <f>G9+H9-C9-E9</f>
        <v>0</v>
      </c>
      <c r="J9" s="16">
        <f>C9-G9</f>
        <v>-2400</v>
      </c>
      <c r="K9" s="16"/>
    </row>
    <row r="10" ht="20.05" customHeight="1">
      <c r="B10" s="28"/>
      <c r="C10" s="15">
        <v>136</v>
      </c>
      <c r="D10" s="16">
        <v>4298</v>
      </c>
      <c r="E10" s="16">
        <f>D10-C10</f>
        <v>4162</v>
      </c>
      <c r="F10" s="16"/>
      <c r="G10" s="16">
        <v>2683</v>
      </c>
      <c r="H10" s="16">
        <v>1615</v>
      </c>
      <c r="I10" s="16">
        <f>G10+H10-C10-E10</f>
        <v>0</v>
      </c>
      <c r="J10" s="16">
        <f>C10-G10</f>
        <v>-2547</v>
      </c>
      <c r="K10" s="16"/>
    </row>
    <row r="11" ht="20.05" customHeight="1">
      <c r="B11" s="28"/>
      <c r="C11" s="15">
        <v>130</v>
      </c>
      <c r="D11" s="16">
        <v>3287</v>
      </c>
      <c r="E11" s="16">
        <f>D11-C11</f>
        <v>3157</v>
      </c>
      <c r="F11" s="16"/>
      <c r="G11" s="16">
        <v>2931</v>
      </c>
      <c r="H11" s="16">
        <v>356</v>
      </c>
      <c r="I11" s="16">
        <f>G11+H11-C11-E11</f>
        <v>0</v>
      </c>
      <c r="J11" s="16">
        <f>C11-G11</f>
        <v>-2801</v>
      </c>
      <c r="K11" s="16"/>
    </row>
    <row r="12" ht="20.05" customHeight="1">
      <c r="B12" s="29">
        <v>2020</v>
      </c>
      <c r="C12" s="15">
        <v>64</v>
      </c>
      <c r="D12" s="16">
        <v>2930</v>
      </c>
      <c r="E12" s="16">
        <f>D12-C12</f>
        <v>2866</v>
      </c>
      <c r="F12" s="16"/>
      <c r="G12" s="16">
        <v>2730</v>
      </c>
      <c r="H12" s="16">
        <v>199</v>
      </c>
      <c r="I12" s="16">
        <f>G12+H12-C12-E12</f>
        <v>-1</v>
      </c>
      <c r="J12" s="16">
        <f>C12-G12</f>
        <v>-2666</v>
      </c>
      <c r="K12" s="16"/>
    </row>
    <row r="13" ht="20.05" customHeight="1">
      <c r="B13" s="28"/>
      <c r="C13" s="15">
        <v>104</v>
      </c>
      <c r="D13" s="16">
        <v>3324</v>
      </c>
      <c r="E13" s="16">
        <f>D13-C13</f>
        <v>3220</v>
      </c>
      <c r="F13" s="16"/>
      <c r="G13" s="16">
        <v>2853</v>
      </c>
      <c r="H13" s="16">
        <v>471</v>
      </c>
      <c r="I13" s="16">
        <f>G13+H13-C13-E13</f>
        <v>0</v>
      </c>
      <c r="J13" s="16">
        <f>C13-G13</f>
        <v>-2749</v>
      </c>
      <c r="K13" s="16"/>
    </row>
    <row r="14" ht="20.05" customHeight="1">
      <c r="B14" s="28"/>
      <c r="C14" s="15">
        <v>100</v>
      </c>
      <c r="D14" s="16">
        <v>3220</v>
      </c>
      <c r="E14" s="16">
        <f>D14-C14</f>
        <v>3120</v>
      </c>
      <c r="F14" s="16"/>
      <c r="G14" s="16">
        <v>2808</v>
      </c>
      <c r="H14" s="16">
        <v>413</v>
      </c>
      <c r="I14" s="16">
        <f>G14+H14-C14-E14</f>
        <v>1</v>
      </c>
      <c r="J14" s="16">
        <f>C14-G14</f>
        <v>-2708</v>
      </c>
      <c r="K14" s="16"/>
    </row>
    <row r="15" ht="20.05" customHeight="1">
      <c r="B15" s="28"/>
      <c r="C15" s="15">
        <v>113</v>
      </c>
      <c r="D15" s="16">
        <v>3486</v>
      </c>
      <c r="E15" s="16">
        <f>D15-C15</f>
        <v>3373</v>
      </c>
      <c r="F15" s="16">
        <f>1053+957</f>
        <v>2010</v>
      </c>
      <c r="G15" s="16">
        <v>3038</v>
      </c>
      <c r="H15" s="16">
        <v>449</v>
      </c>
      <c r="I15" s="16">
        <f>G15+H15-C15-E15</f>
        <v>1</v>
      </c>
      <c r="J15" s="16">
        <f>C15-G15</f>
        <v>-2925</v>
      </c>
      <c r="K15" s="16"/>
    </row>
    <row r="16" ht="20.05" customHeight="1">
      <c r="B16" s="29">
        <v>2021</v>
      </c>
      <c r="C16" s="15">
        <v>118</v>
      </c>
      <c r="D16" s="16">
        <v>3455</v>
      </c>
      <c r="E16" s="16">
        <f>D16-C16</f>
        <v>3337</v>
      </c>
      <c r="F16" s="16"/>
      <c r="G16" s="16">
        <v>2990</v>
      </c>
      <c r="H16" s="16">
        <v>465</v>
      </c>
      <c r="I16" s="16">
        <f>G16+H16-C16-E16</f>
        <v>0</v>
      </c>
      <c r="J16" s="16">
        <f>C16-G16</f>
        <v>-2872</v>
      </c>
      <c r="K16" s="18"/>
    </row>
    <row r="17" ht="20.05" customHeight="1">
      <c r="B17" s="28"/>
      <c r="C17" s="15">
        <v>73</v>
      </c>
      <c r="D17" s="16">
        <v>3591</v>
      </c>
      <c r="E17" s="16">
        <f>D17-C17</f>
        <v>3518</v>
      </c>
      <c r="F17" s="16"/>
      <c r="G17" s="16">
        <v>3182</v>
      </c>
      <c r="H17" s="16">
        <v>409</v>
      </c>
      <c r="I17" s="16">
        <f>G17+H17-C17-E17</f>
        <v>0</v>
      </c>
      <c r="J17" s="16">
        <f>C17-G17</f>
        <v>-3109</v>
      </c>
      <c r="K17" s="16"/>
    </row>
    <row r="18" ht="20.05" customHeight="1">
      <c r="B18" s="28"/>
      <c r="C18" s="15">
        <v>95</v>
      </c>
      <c r="D18" s="16">
        <v>3743</v>
      </c>
      <c r="E18" s="16">
        <f>D18-C18</f>
        <v>3648</v>
      </c>
      <c r="F18" s="16"/>
      <c r="G18" s="16">
        <v>3322</v>
      </c>
      <c r="H18" s="16">
        <v>421</v>
      </c>
      <c r="I18" s="16">
        <f>G18+H18-C18-E18</f>
        <v>0</v>
      </c>
      <c r="J18" s="16">
        <f>C18-G18</f>
        <v>-3227</v>
      </c>
      <c r="K18" s="16"/>
    </row>
    <row r="19" ht="20.05" customHeight="1">
      <c r="B19" s="28"/>
      <c r="C19" s="15">
        <f>C18+'Cashflow '!D23+'Cashflow '!E23+'Cashflow '!I23</f>
        <v>16.6</v>
      </c>
      <c r="D19" s="16">
        <v>3774</v>
      </c>
      <c r="E19" s="16">
        <f>D19-C19</f>
        <v>3757.4</v>
      </c>
      <c r="F19" s="16">
        <f>1098+959+5</f>
        <v>2062</v>
      </c>
      <c r="G19" s="16">
        <v>3252</v>
      </c>
      <c r="H19" s="16">
        <f>D19-G19</f>
        <v>522</v>
      </c>
      <c r="I19" s="16">
        <f>G19+H19-C19-E19</f>
        <v>0</v>
      </c>
      <c r="J19" s="16">
        <f>C19-G19</f>
        <v>-3235.4</v>
      </c>
      <c r="K19" s="16"/>
    </row>
    <row r="20" ht="20.05" customHeight="1">
      <c r="B20" s="29">
        <v>2022</v>
      </c>
      <c r="C20" s="15">
        <v>124</v>
      </c>
      <c r="D20" s="16">
        <v>3915</v>
      </c>
      <c r="E20" s="16">
        <f>D20-C20</f>
        <v>3791</v>
      </c>
      <c r="F20" s="16">
        <f>5+1108+959</f>
        <v>2072</v>
      </c>
      <c r="G20" s="16">
        <v>3359</v>
      </c>
      <c r="H20" s="16">
        <v>556</v>
      </c>
      <c r="I20" s="16">
        <f>G20+H20-C20-E20</f>
        <v>0</v>
      </c>
      <c r="J20" s="16">
        <f>C20-G20</f>
        <v>-3235</v>
      </c>
      <c r="K20" s="16">
        <v>-3199.086693852880</v>
      </c>
    </row>
    <row r="21" ht="20.05" customHeight="1">
      <c r="B21" s="28"/>
      <c r="C21" s="15"/>
      <c r="D21" s="16"/>
      <c r="E21" s="16"/>
      <c r="F21" s="16"/>
      <c r="G21" s="16"/>
      <c r="H21" s="16"/>
      <c r="I21" s="16"/>
      <c r="J21" s="16"/>
      <c r="K21" s="16">
        <f>'Model'!F32</f>
        <v>-3195.556275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8" customWidth="1"/>
    <col min="2" max="5" width="9.9375" style="38" customWidth="1"/>
    <col min="6" max="16384" width="16.3516" style="38" customWidth="1"/>
  </cols>
  <sheetData>
    <row r="1" ht="30.75" customHeight="1"/>
    <row r="2" ht="27.65" customHeight="1">
      <c r="B2" t="s" s="2">
        <v>53</v>
      </c>
      <c r="C2" s="2"/>
      <c r="D2" s="2"/>
      <c r="E2" s="2"/>
    </row>
    <row r="3" ht="20.25" customHeight="1">
      <c r="B3" s="4"/>
      <c r="C3" t="s" s="39">
        <v>54</v>
      </c>
      <c r="D3" t="s" s="39">
        <v>55</v>
      </c>
      <c r="E3" t="s" s="39">
        <v>56</v>
      </c>
    </row>
    <row r="4" ht="20.25" customHeight="1">
      <c r="B4" s="25">
        <v>2018</v>
      </c>
      <c r="C4" s="26">
        <v>438</v>
      </c>
      <c r="D4" s="8"/>
      <c r="E4" s="8"/>
    </row>
    <row r="5" ht="20.05" customHeight="1">
      <c r="B5" s="28"/>
      <c r="C5" s="15">
        <v>456</v>
      </c>
      <c r="D5" s="18"/>
      <c r="E5" s="18"/>
    </row>
    <row r="6" ht="20.05" customHeight="1">
      <c r="B6" s="28"/>
      <c r="C6" s="15">
        <v>400</v>
      </c>
      <c r="D6" s="18"/>
      <c r="E6" s="18"/>
    </row>
    <row r="7" ht="20.05" customHeight="1">
      <c r="B7" s="28"/>
      <c r="C7" s="15">
        <v>402</v>
      </c>
      <c r="D7" s="18"/>
      <c r="E7" s="18"/>
    </row>
    <row r="8" ht="20.05" customHeight="1">
      <c r="B8" s="29">
        <v>2019</v>
      </c>
      <c r="C8" s="15">
        <v>464</v>
      </c>
      <c r="D8" s="18"/>
      <c r="E8" s="18"/>
    </row>
    <row r="9" ht="20.05" customHeight="1">
      <c r="B9" s="28"/>
      <c r="C9" s="15">
        <v>418</v>
      </c>
      <c r="D9" s="18"/>
      <c r="E9" s="18"/>
    </row>
    <row r="10" ht="20.05" customHeight="1">
      <c r="B10" s="28"/>
      <c r="C10" s="15">
        <v>350</v>
      </c>
      <c r="D10" s="18"/>
      <c r="E10" s="18"/>
    </row>
    <row r="11" ht="20.05" customHeight="1">
      <c r="B11" s="28"/>
      <c r="C11" s="15">
        <v>304</v>
      </c>
      <c r="D11" s="18"/>
      <c r="E11" s="18"/>
    </row>
    <row r="12" ht="20.05" customHeight="1">
      <c r="B12" s="29">
        <v>2020</v>
      </c>
      <c r="C12" s="15">
        <v>149</v>
      </c>
      <c r="D12" s="18"/>
      <c r="E12" s="18"/>
    </row>
    <row r="13" ht="20.05" customHeight="1">
      <c r="B13" s="28"/>
      <c r="C13" s="15">
        <v>276</v>
      </c>
      <c r="D13" s="18"/>
      <c r="E13" s="18"/>
    </row>
    <row r="14" ht="20.05" customHeight="1">
      <c r="B14" s="28"/>
      <c r="C14" s="15">
        <v>286</v>
      </c>
      <c r="D14" s="18"/>
      <c r="E14" s="18"/>
    </row>
    <row r="15" ht="20.05" customHeight="1">
      <c r="B15" s="28"/>
      <c r="C15" s="15">
        <v>428</v>
      </c>
      <c r="D15" s="18"/>
      <c r="E15" s="18"/>
    </row>
    <row r="16" ht="20.05" customHeight="1">
      <c r="B16" s="29">
        <v>2021</v>
      </c>
      <c r="C16" s="15">
        <v>605</v>
      </c>
      <c r="D16" s="18"/>
      <c r="E16" s="18"/>
    </row>
    <row r="17" ht="20.05" customHeight="1">
      <c r="B17" s="28"/>
      <c r="C17" s="15">
        <v>498</v>
      </c>
      <c r="D17" s="18"/>
      <c r="E17" s="18"/>
    </row>
    <row r="18" ht="20.05" customHeight="1">
      <c r="B18" s="28"/>
      <c r="C18" s="15">
        <v>505</v>
      </c>
      <c r="D18" s="18"/>
      <c r="E18" s="18"/>
    </row>
    <row r="19" ht="20.05" customHeight="1">
      <c r="B19" s="28"/>
      <c r="C19" s="15">
        <v>414</v>
      </c>
      <c r="D19" s="18"/>
      <c r="E19" s="18"/>
    </row>
    <row r="20" ht="20.05" customHeight="1">
      <c r="B20" s="29">
        <v>2022</v>
      </c>
      <c r="C20" s="15">
        <v>352</v>
      </c>
      <c r="D20" s="18"/>
      <c r="E20" s="18"/>
    </row>
    <row r="21" ht="20.05" customHeight="1">
      <c r="B21" s="28"/>
      <c r="C21" s="15">
        <v>362</v>
      </c>
      <c r="D21" s="20">
        <f>C21</f>
        <v>362</v>
      </c>
      <c r="E21" s="20">
        <v>399.407777348487</v>
      </c>
    </row>
    <row r="22" ht="20.05" customHeight="1">
      <c r="B22" s="28"/>
      <c r="C22" s="15"/>
      <c r="D22" s="20">
        <f>'Model'!F46</f>
        <v>456.694514263190</v>
      </c>
      <c r="E22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T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2.3984" style="40" customWidth="1"/>
    <col min="9" max="20" width="11.375" style="41" customWidth="1"/>
    <col min="21" max="16384" width="16.3516" style="41" customWidth="1"/>
  </cols>
  <sheetData>
    <row r="1" ht="27.65" customHeight="1">
      <c r="A1" t="s" s="2">
        <v>57</v>
      </c>
      <c r="B1" s="2"/>
      <c r="C1" s="2"/>
      <c r="D1" s="2"/>
      <c r="E1" s="2"/>
      <c r="F1" s="2"/>
      <c r="G1" s="2"/>
      <c r="H1" s="2"/>
    </row>
    <row r="2" ht="20.25" customHeight="1">
      <c r="A2" t="s" s="5">
        <v>58</v>
      </c>
      <c r="B2" t="s" s="5">
        <v>11</v>
      </c>
      <c r="C2" t="s" s="5">
        <v>14</v>
      </c>
      <c r="D2" t="s" s="5">
        <v>59</v>
      </c>
      <c r="E2" t="s" s="5">
        <v>11</v>
      </c>
      <c r="F2" t="s" s="5">
        <v>14</v>
      </c>
      <c r="G2" t="s" s="5">
        <v>59</v>
      </c>
      <c r="H2" s="4"/>
    </row>
    <row r="3" ht="20.25" customHeight="1">
      <c r="A3" s="25">
        <v>2007</v>
      </c>
      <c r="B3" s="26">
        <v>-27.7857142857143</v>
      </c>
      <c r="C3" s="27">
        <v>0</v>
      </c>
      <c r="D3" s="27">
        <f>B3+C3</f>
        <v>-27.7857142857143</v>
      </c>
      <c r="E3" s="27">
        <f>B3</f>
        <v>-27.7857142857143</v>
      </c>
      <c r="F3" s="27">
        <f>C3</f>
        <v>0</v>
      </c>
      <c r="G3" s="27">
        <f>D3</f>
        <v>-27.7857142857143</v>
      </c>
      <c r="H3" s="8"/>
    </row>
    <row r="4" ht="20.05" customHeight="1">
      <c r="A4" s="29">
        <v>2008</v>
      </c>
      <c r="B4" s="15">
        <v>7.07142857142857</v>
      </c>
      <c r="C4" s="16">
        <v>-6.78571428571429</v>
      </c>
      <c r="D4" s="16">
        <f>B4+C4</f>
        <v>0.28571428571428</v>
      </c>
      <c r="E4" s="16">
        <f>B4+E3</f>
        <v>-20.7142857142857</v>
      </c>
      <c r="F4" s="16">
        <f>C4+F3</f>
        <v>-6.78571428571429</v>
      </c>
      <c r="G4" s="16">
        <f>D4+G3</f>
        <v>-27.5</v>
      </c>
      <c r="H4" s="18"/>
    </row>
    <row r="5" ht="20.05" customHeight="1">
      <c r="A5" s="29">
        <v>2009</v>
      </c>
      <c r="B5" s="15">
        <v>-3.64285714285714</v>
      </c>
      <c r="C5" s="16">
        <v>8.5</v>
      </c>
      <c r="D5" s="16">
        <f>B5+C5</f>
        <v>4.85714285714286</v>
      </c>
      <c r="E5" s="16">
        <f>B5+E4</f>
        <v>-24.3571428571428</v>
      </c>
      <c r="F5" s="16">
        <f>C5+F4</f>
        <v>1.71428571428571</v>
      </c>
      <c r="G5" s="16">
        <f>D5+G4</f>
        <v>-22.6428571428571</v>
      </c>
      <c r="H5" s="18"/>
    </row>
    <row r="6" ht="20.05" customHeight="1">
      <c r="A6" s="29">
        <f>1+$A5</f>
        <v>2010</v>
      </c>
      <c r="B6" s="15">
        <v>10.5</v>
      </c>
      <c r="C6" s="16">
        <v>181.214285714286</v>
      </c>
      <c r="D6" s="16">
        <f>B6+C6</f>
        <v>191.714285714286</v>
      </c>
      <c r="E6" s="16">
        <f>B6+E5</f>
        <v>-13.8571428571428</v>
      </c>
      <c r="F6" s="16">
        <f>C6+F5</f>
        <v>182.928571428572</v>
      </c>
      <c r="G6" s="16">
        <f>D6+G5</f>
        <v>169.071428571429</v>
      </c>
      <c r="H6" s="18"/>
    </row>
    <row r="7" ht="20.05" customHeight="1">
      <c r="A7" s="29">
        <f>1+$A6</f>
        <v>2011</v>
      </c>
      <c r="B7" s="15">
        <v>72.78571428571431</v>
      </c>
      <c r="C7" s="16">
        <v>-3.57142857142857</v>
      </c>
      <c r="D7" s="16">
        <f>B7+C7</f>
        <v>69.21428571428569</v>
      </c>
      <c r="E7" s="16">
        <f>B7+E6</f>
        <v>58.9285714285715</v>
      </c>
      <c r="F7" s="16">
        <f>C7+F6</f>
        <v>179.357142857143</v>
      </c>
      <c r="G7" s="16">
        <f>D7+G6</f>
        <v>238.285714285715</v>
      </c>
      <c r="H7" s="18"/>
    </row>
    <row r="8" ht="20.05" customHeight="1">
      <c r="A8" s="29">
        <f>1+$A7</f>
        <v>2012</v>
      </c>
      <c r="B8" s="15">
        <v>110</v>
      </c>
      <c r="C8" s="16">
        <v>-25</v>
      </c>
      <c r="D8" s="16">
        <f>B8+C8</f>
        <v>85</v>
      </c>
      <c r="E8" s="16">
        <f>B8+E7</f>
        <v>168.928571428572</v>
      </c>
      <c r="F8" s="16">
        <f>C8+F7</f>
        <v>154.357142857143</v>
      </c>
      <c r="G8" s="16">
        <f>D8+G7</f>
        <v>323.285714285715</v>
      </c>
      <c r="H8" s="18"/>
    </row>
    <row r="9" ht="20.05" customHeight="1">
      <c r="A9" s="29">
        <f>1+$A8</f>
        <v>2013</v>
      </c>
      <c r="B9" s="15">
        <f>39-15</f>
        <v>24</v>
      </c>
      <c r="C9" s="16">
        <v>0</v>
      </c>
      <c r="D9" s="16">
        <f>B9+C9</f>
        <v>24</v>
      </c>
      <c r="E9" s="16">
        <f>B9+E8</f>
        <v>192.928571428572</v>
      </c>
      <c r="F9" s="16">
        <f>C9+F8</f>
        <v>154.357142857143</v>
      </c>
      <c r="G9" s="16">
        <f>D9+G8</f>
        <v>347.285714285715</v>
      </c>
      <c r="H9" s="18"/>
    </row>
    <row r="10" ht="20.05" customHeight="1">
      <c r="A10" s="29">
        <f>1+$A9</f>
        <v>2014</v>
      </c>
      <c r="B10" s="15">
        <f>237+122-24</f>
        <v>335</v>
      </c>
      <c r="C10" s="16">
        <v>0</v>
      </c>
      <c r="D10" s="16">
        <f>B10+C10</f>
        <v>335</v>
      </c>
      <c r="E10" s="16">
        <f>B10+E9</f>
        <v>527.928571428572</v>
      </c>
      <c r="F10" s="16">
        <f>C10+F9</f>
        <v>154.357142857143</v>
      </c>
      <c r="G10" s="16">
        <f>D10+G9</f>
        <v>682.285714285715</v>
      </c>
      <c r="H10" s="18"/>
    </row>
    <row r="11" ht="20.05" customHeight="1">
      <c r="A11" s="29">
        <f>1+$A10</f>
        <v>2015</v>
      </c>
      <c r="B11" s="15">
        <f>222+107-55</f>
        <v>274</v>
      </c>
      <c r="C11" s="16">
        <v>0</v>
      </c>
      <c r="D11" s="16">
        <f>B11+C11</f>
        <v>274</v>
      </c>
      <c r="E11" s="16">
        <f>B11+E10</f>
        <v>801.928571428572</v>
      </c>
      <c r="F11" s="16">
        <f>C11+F10</f>
        <v>154.357142857143</v>
      </c>
      <c r="G11" s="16">
        <f>D11+G10</f>
        <v>956.285714285715</v>
      </c>
      <c r="H11" s="18"/>
    </row>
    <row r="12" ht="20.05" customHeight="1">
      <c r="A12" s="29">
        <f>1+$A11</f>
        <v>2016</v>
      </c>
      <c r="B12" s="15">
        <f>412-250-32</f>
        <v>130</v>
      </c>
      <c r="C12" s="16">
        <v>137</v>
      </c>
      <c r="D12" s="16">
        <f>B12+C12</f>
        <v>267</v>
      </c>
      <c r="E12" s="16">
        <f>B12+E11</f>
        <v>931.928571428572</v>
      </c>
      <c r="F12" s="16">
        <f>C12+F11</f>
        <v>291.357142857143</v>
      </c>
      <c r="G12" s="16">
        <f>D12+G11</f>
        <v>1223.285714285720</v>
      </c>
      <c r="H12" s="18"/>
    </row>
    <row r="13" ht="20.05" customHeight="1">
      <c r="A13" s="29">
        <f>1+$A12</f>
        <v>2017</v>
      </c>
      <c r="B13" s="15">
        <f>48+29-31</f>
        <v>46</v>
      </c>
      <c r="C13" s="16">
        <v>0</v>
      </c>
      <c r="D13" s="16">
        <f>B13+C13</f>
        <v>46</v>
      </c>
      <c r="E13" s="16">
        <f>B13+E12</f>
        <v>977.928571428572</v>
      </c>
      <c r="F13" s="16">
        <f>C13+F12</f>
        <v>291.357142857143</v>
      </c>
      <c r="G13" s="16">
        <f>D13+G12</f>
        <v>1269.285714285720</v>
      </c>
      <c r="H13" s="18"/>
    </row>
    <row r="14" ht="20.05" customHeight="1">
      <c r="A14" s="29">
        <f>1+$A13</f>
        <v>2018</v>
      </c>
      <c r="B14" s="15">
        <f>135+232-39</f>
        <v>328</v>
      </c>
      <c r="C14" s="16">
        <v>0</v>
      </c>
      <c r="D14" s="16">
        <f>B14+C14</f>
        <v>328</v>
      </c>
      <c r="E14" s="16">
        <f>B14+E13</f>
        <v>1305.928571428570</v>
      </c>
      <c r="F14" s="16">
        <f>C14+F13</f>
        <v>291.357142857143</v>
      </c>
      <c r="G14" s="16">
        <f>D14+G13</f>
        <v>1597.285714285720</v>
      </c>
      <c r="H14" s="18"/>
    </row>
    <row r="15" ht="20.05" customHeight="1">
      <c r="A15" s="29">
        <f>1+$A14</f>
        <v>2019</v>
      </c>
      <c r="B15" s="15">
        <f>74+70-47</f>
        <v>97</v>
      </c>
      <c r="C15" s="16">
        <v>0</v>
      </c>
      <c r="D15" s="16">
        <f>B15+C15</f>
        <v>97</v>
      </c>
      <c r="E15" s="16">
        <f>B15+E14</f>
        <v>1402.928571428570</v>
      </c>
      <c r="F15" s="16">
        <f>C15+F14</f>
        <v>291.357142857143</v>
      </c>
      <c r="G15" s="16">
        <f>D15+G14</f>
        <v>1694.285714285720</v>
      </c>
      <c r="H15" s="18"/>
    </row>
    <row r="16" ht="20.05" customHeight="1">
      <c r="A16" s="29">
        <f>1+$A15</f>
        <v>2020</v>
      </c>
      <c r="B16" s="15">
        <f>29+87-41</f>
        <v>75</v>
      </c>
      <c r="C16" s="16">
        <v>156</v>
      </c>
      <c r="D16" s="16">
        <f>B16+C16</f>
        <v>231</v>
      </c>
      <c r="E16" s="16">
        <f>B16+E15</f>
        <v>1477.928571428570</v>
      </c>
      <c r="F16" s="16">
        <f>C16+F15</f>
        <v>447.357142857143</v>
      </c>
      <c r="G16" s="16">
        <f>D16+G15</f>
        <v>1925.285714285720</v>
      </c>
      <c r="H16" s="18"/>
    </row>
    <row r="17" ht="20.05" customHeight="1">
      <c r="A17" s="29">
        <f>1+$A16</f>
        <v>2021</v>
      </c>
      <c r="B17" s="15">
        <f>SUM('Cashflow '!G20:G23)</f>
        <v>1</v>
      </c>
      <c r="C17" s="16">
        <v>0</v>
      </c>
      <c r="D17" s="16">
        <f>B17+C17</f>
        <v>1</v>
      </c>
      <c r="E17" s="16">
        <f>B17+E16</f>
        <v>1478.928571428570</v>
      </c>
      <c r="F17" s="16">
        <f>C17+F16</f>
        <v>447.357142857143</v>
      </c>
      <c r="G17" s="16">
        <f>D17+G16</f>
        <v>1926.285714285720</v>
      </c>
      <c r="H17" s="18"/>
    </row>
    <row r="19" ht="27.65" customHeight="1">
      <c r="I19" t="s" s="2">
        <v>60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ht="20.25" customHeight="1"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ht="20.25" customHeight="1">
      <c r="I21" s="42"/>
      <c r="J21" t="s" s="43">
        <v>61</v>
      </c>
      <c r="K21" s="44">
        <v>7003396521984</v>
      </c>
      <c r="L21" s="8"/>
      <c r="M21" s="8"/>
      <c r="N21" s="8"/>
      <c r="O21" s="8"/>
      <c r="P21" s="8"/>
      <c r="Q21" s="8"/>
      <c r="R21" s="8"/>
      <c r="S21" s="8"/>
      <c r="T21" s="8"/>
    </row>
    <row r="22" ht="44.05" customHeight="1">
      <c r="I22" s="28"/>
      <c r="J22" t="s" s="45">
        <v>54</v>
      </c>
      <c r="K22" t="s" s="46">
        <v>62</v>
      </c>
      <c r="L22" s="23">
        <f>R41</f>
        <v>0.256713533358146</v>
      </c>
      <c r="M22" t="s" s="46">
        <f>S41</f>
        <v>63</v>
      </c>
      <c r="N22" t="s" s="46">
        <f>T41</f>
        <v>64</v>
      </c>
      <c r="O22" s="18"/>
      <c r="P22" s="18"/>
      <c r="Q22" s="18"/>
      <c r="R22" s="18"/>
      <c r="S22" s="18"/>
      <c r="T22" s="18"/>
    </row>
    <row r="23" ht="20.05" customHeight="1">
      <c r="I23" s="28"/>
      <c r="J23" s="47">
        <v>44655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ht="20.05" customHeight="1">
      <c r="I24" s="28"/>
      <c r="J24" t="s" s="45">
        <v>65</v>
      </c>
      <c r="K24" s="20">
        <f>$A4</f>
        <v>2008</v>
      </c>
      <c r="L24" s="18"/>
      <c r="M24" s="18"/>
      <c r="N24" s="18"/>
      <c r="O24" s="18"/>
      <c r="P24" s="18"/>
      <c r="Q24" s="18"/>
      <c r="R24" s="18"/>
      <c r="S24" s="18"/>
      <c r="T24" s="18"/>
    </row>
    <row r="25" ht="32.05" customHeight="1">
      <c r="I25" s="28"/>
      <c r="J25" t="s" s="45">
        <v>66</v>
      </c>
      <c r="K25" s="20">
        <f>(2022-K24)*4</f>
        <v>56</v>
      </c>
      <c r="L25" s="18"/>
      <c r="M25" s="18"/>
      <c r="N25" s="18"/>
      <c r="O25" s="18"/>
      <c r="P25" s="18"/>
      <c r="Q25" s="18"/>
      <c r="R25" s="18"/>
      <c r="S25" s="18"/>
      <c r="T25" s="18"/>
    </row>
    <row r="26" ht="32.05" customHeight="1">
      <c r="I26" s="28"/>
      <c r="J26" t="s" s="45">
        <v>67</v>
      </c>
      <c r="K26" s="16">
        <f>(K21/1000000000)/14</f>
        <v>500.242608713143</v>
      </c>
      <c r="L26" s="18"/>
      <c r="M26" s="18"/>
      <c r="N26" s="18"/>
      <c r="O26" s="18"/>
      <c r="P26" s="18"/>
      <c r="Q26" s="18"/>
      <c r="R26" s="18"/>
      <c r="S26" s="18"/>
      <c r="T26" s="18"/>
    </row>
    <row r="27" ht="20.05" customHeight="1">
      <c r="I27" s="28"/>
      <c r="J27" t="s" s="45">
        <v>11</v>
      </c>
      <c r="K27" s="16">
        <f>P31</f>
        <v>1478.928571428570</v>
      </c>
      <c r="L27" t="s" s="46">
        <f>P28</f>
        <v>68</v>
      </c>
      <c r="M27" t="s" s="46">
        <f>IF(K27&gt;0,"raised","paid")</f>
        <v>69</v>
      </c>
      <c r="N27" s="18"/>
      <c r="O27" s="18"/>
      <c r="P27" s="18"/>
      <c r="Q27" s="18"/>
      <c r="R27" s="18"/>
      <c r="S27" s="18"/>
      <c r="T27" s="18"/>
    </row>
    <row r="28" ht="32.05" customHeight="1">
      <c r="I28" s="28"/>
      <c r="J28" t="s" s="45">
        <f>J22</f>
        <v>54</v>
      </c>
      <c r="K28" t="s" s="46">
        <v>70</v>
      </c>
      <c r="L28" t="s" s="46">
        <f>IF(O28&gt;0,"raised","paid")</f>
        <v>69</v>
      </c>
      <c r="M28" t="s" s="46">
        <v>71</v>
      </c>
      <c r="N28" t="s" s="46">
        <v>72</v>
      </c>
      <c r="O28" s="16">
        <f>AVERAGE(B3:B17)</f>
        <v>98.5952380952381</v>
      </c>
      <c r="P28" t="s" s="46">
        <v>68</v>
      </c>
      <c r="Q28" t="s" s="46">
        <v>73</v>
      </c>
      <c r="R28" s="23">
        <f>O28/K26</f>
        <v>0.197094842338343</v>
      </c>
      <c r="S28" t="s" s="46">
        <v>63</v>
      </c>
      <c r="T28" s="18"/>
    </row>
    <row r="29" ht="32.05" customHeight="1">
      <c r="I29" s="28"/>
      <c r="J29" t="s" s="45">
        <v>74</v>
      </c>
      <c r="K29" t="s" s="46">
        <f>M28</f>
        <v>71</v>
      </c>
      <c r="L29" t="s" s="46">
        <v>75</v>
      </c>
      <c r="M29" t="s" s="46">
        <f>IF(O29&gt;0,"raised","paid")</f>
        <v>69</v>
      </c>
      <c r="N29" t="s" s="46">
        <v>72</v>
      </c>
      <c r="O29" s="16">
        <f>AVERAGE(B13:B17)</f>
        <v>109.4</v>
      </c>
      <c r="P29" t="s" s="46">
        <f>P28</f>
        <v>68</v>
      </c>
      <c r="Q29" t="s" s="46">
        <v>73</v>
      </c>
      <c r="R29" s="23">
        <f>O29/K26</f>
        <v>0.218693885915532</v>
      </c>
      <c r="S29" t="s" s="46">
        <v>63</v>
      </c>
      <c r="T29" s="18"/>
    </row>
    <row r="30" ht="44.05" customHeight="1">
      <c r="I30" s="28"/>
      <c r="J30" t="s" s="45">
        <v>76</v>
      </c>
      <c r="K30" t="s" s="46">
        <v>77</v>
      </c>
      <c r="L30" s="16">
        <f>MAX(E3:E17)</f>
        <v>1478.928571428570</v>
      </c>
      <c r="M30" t="s" s="46">
        <f>P29</f>
        <v>68</v>
      </c>
      <c r="N30" t="s" s="46">
        <v>78</v>
      </c>
      <c r="O30" s="20">
        <f>$A17</f>
        <v>2021</v>
      </c>
      <c r="P30" s="18"/>
      <c r="Q30" s="18"/>
      <c r="R30" s="18"/>
      <c r="S30" s="18"/>
      <c r="T30" s="18"/>
    </row>
    <row r="31" ht="32.05" customHeight="1">
      <c r="I31" s="28"/>
      <c r="J31" t="s" s="45">
        <v>79</v>
      </c>
      <c r="K31" t="s" s="46">
        <f>K29</f>
        <v>71</v>
      </c>
      <c r="L31" t="s" s="46">
        <v>80</v>
      </c>
      <c r="M31" t="s" s="46">
        <v>81</v>
      </c>
      <c r="N31" t="s" s="46">
        <f>IF(P31&lt;L30,"down","up")</f>
        <v>82</v>
      </c>
      <c r="O31" t="s" s="46">
        <v>83</v>
      </c>
      <c r="P31" s="16">
        <f>E17</f>
        <v>1478.928571428570</v>
      </c>
      <c r="Q31" t="s" s="46">
        <f>P29</f>
        <v>68</v>
      </c>
      <c r="R31" s="18"/>
      <c r="S31" s="18"/>
      <c r="T31" s="18"/>
    </row>
    <row r="32" ht="20.05" customHeight="1">
      <c r="I32" s="28"/>
      <c r="J32" t="s" s="45">
        <v>14</v>
      </c>
      <c r="K32" s="16">
        <f>P36</f>
        <v>447.357142857143</v>
      </c>
      <c r="L32" t="s" s="46">
        <f>Q31</f>
        <v>68</v>
      </c>
      <c r="M32" t="s" s="46">
        <f>IF(K32&gt;0,"raised","paid")</f>
        <v>69</v>
      </c>
      <c r="N32" s="18"/>
      <c r="O32" s="18"/>
      <c r="P32" s="18"/>
      <c r="Q32" s="18"/>
      <c r="R32" s="18"/>
      <c r="S32" s="18"/>
      <c r="T32" s="18"/>
    </row>
    <row r="33" ht="32.05" customHeight="1">
      <c r="I33" s="28"/>
      <c r="J33" t="s" s="45">
        <f>J28</f>
        <v>54</v>
      </c>
      <c r="K33" t="s" s="46">
        <v>70</v>
      </c>
      <c r="L33" t="s" s="46">
        <f>IF(O33&gt;0,"raised","paid")</f>
        <v>69</v>
      </c>
      <c r="M33" t="s" s="46">
        <v>84</v>
      </c>
      <c r="N33" t="s" s="46">
        <f>N28</f>
        <v>72</v>
      </c>
      <c r="O33" s="16">
        <f>AVERAGE(C3:C17)</f>
        <v>29.8238095238095</v>
      </c>
      <c r="P33" t="s" s="46">
        <f>P28</f>
        <v>68</v>
      </c>
      <c r="Q33" t="s" s="46">
        <f>Q28</f>
        <v>73</v>
      </c>
      <c r="R33" s="23">
        <f>O33/K26</f>
        <v>0.0596186910198038</v>
      </c>
      <c r="S33" t="s" s="46">
        <f>S28</f>
        <v>63</v>
      </c>
      <c r="T33" s="18"/>
    </row>
    <row r="34" ht="32.05" customHeight="1">
      <c r="I34" s="28"/>
      <c r="J34" t="s" s="45">
        <v>74</v>
      </c>
      <c r="K34" t="s" s="46">
        <f>M33</f>
        <v>84</v>
      </c>
      <c r="L34" t="s" s="46">
        <v>85</v>
      </c>
      <c r="M34" t="s" s="46">
        <f>IF(O34&gt;0,"raised","paid")</f>
        <v>69</v>
      </c>
      <c r="N34" t="s" s="46">
        <v>72</v>
      </c>
      <c r="O34" s="16">
        <f>AVERAGE(C13:C17)</f>
        <v>31.2</v>
      </c>
      <c r="P34" t="s" s="46">
        <f>P33</f>
        <v>68</v>
      </c>
      <c r="Q34" t="s" s="46">
        <v>73</v>
      </c>
      <c r="R34" s="23">
        <f>O34/K26</f>
        <v>0.0623697371166781</v>
      </c>
      <c r="S34" t="s" s="46">
        <f>S29</f>
        <v>63</v>
      </c>
      <c r="T34" s="18"/>
    </row>
    <row r="35" ht="44.05" customHeight="1">
      <c r="I35" s="28"/>
      <c r="J35" t="s" s="45">
        <v>86</v>
      </c>
      <c r="K35" t="s" s="46">
        <v>77</v>
      </c>
      <c r="L35" s="16">
        <f>MAX(F3:F17)</f>
        <v>447.357142857143</v>
      </c>
      <c r="M35" t="s" s="46">
        <f>P34</f>
        <v>68</v>
      </c>
      <c r="N35" t="s" s="46">
        <v>78</v>
      </c>
      <c r="O35" s="20">
        <f>$A17</f>
        <v>2021</v>
      </c>
      <c r="P35" s="18"/>
      <c r="Q35" s="18"/>
      <c r="R35" s="18"/>
      <c r="S35" s="18"/>
      <c r="T35" s="18"/>
    </row>
    <row r="36" ht="32.05" customHeight="1">
      <c r="I36" s="28"/>
      <c r="J36" t="s" s="45">
        <v>79</v>
      </c>
      <c r="K36" t="s" s="46">
        <f>K34</f>
        <v>84</v>
      </c>
      <c r="L36" t="s" s="46">
        <v>80</v>
      </c>
      <c r="M36" t="s" s="46">
        <v>87</v>
      </c>
      <c r="N36" t="s" s="46">
        <f>IF(P36&lt;L35,"down","up")</f>
        <v>82</v>
      </c>
      <c r="O36" t="s" s="46">
        <v>83</v>
      </c>
      <c r="P36" s="16">
        <f>F17</f>
        <v>447.357142857143</v>
      </c>
      <c r="Q36" t="s" s="46">
        <f>P34</f>
        <v>68</v>
      </c>
      <c r="R36" s="18"/>
      <c r="S36" s="18"/>
      <c r="T36" s="18"/>
    </row>
    <row r="37" ht="20.05" customHeight="1">
      <c r="I37" s="28"/>
      <c r="J37" t="s" s="45">
        <v>88</v>
      </c>
      <c r="K37" s="16">
        <f>P41</f>
        <v>1926.285714285720</v>
      </c>
      <c r="L37" t="s" s="46">
        <f>Q36</f>
        <v>68</v>
      </c>
      <c r="M37" t="s" s="46">
        <f>IF(K37&gt;0,"raised","paid")</f>
        <v>69</v>
      </c>
      <c r="N37" s="18"/>
      <c r="O37" s="18"/>
      <c r="P37" s="18"/>
      <c r="Q37" s="18"/>
      <c r="R37" s="18"/>
      <c r="S37" s="18"/>
      <c r="T37" s="18"/>
    </row>
    <row r="38" ht="32.05" customHeight="1">
      <c r="I38" s="28"/>
      <c r="J38" t="s" s="45">
        <f>J33</f>
        <v>54</v>
      </c>
      <c r="K38" t="s" s="46">
        <v>70</v>
      </c>
      <c r="L38" t="s" s="46">
        <f>IF(O38&gt;0,"raised","paid")</f>
        <v>69</v>
      </c>
      <c r="M38" t="s" s="46">
        <v>89</v>
      </c>
      <c r="N38" t="s" s="46">
        <f>N33</f>
        <v>72</v>
      </c>
      <c r="O38" s="16">
        <f>AVERAGE(D3:D17)</f>
        <v>128.419047619048</v>
      </c>
      <c r="P38" t="s" s="46">
        <f>P33</f>
        <v>68</v>
      </c>
      <c r="Q38" t="s" s="46">
        <f>Q33</f>
        <v>73</v>
      </c>
      <c r="R38" s="23">
        <f>O38/K26</f>
        <v>0.256713533358147</v>
      </c>
      <c r="S38" t="s" s="46">
        <f>S33</f>
        <v>63</v>
      </c>
      <c r="T38" s="18"/>
    </row>
    <row r="39" ht="32.05" customHeight="1">
      <c r="I39" s="28"/>
      <c r="J39" t="s" s="45">
        <v>74</v>
      </c>
      <c r="K39" t="s" s="46">
        <f>M38</f>
        <v>89</v>
      </c>
      <c r="L39" t="s" s="46">
        <v>85</v>
      </c>
      <c r="M39" t="s" s="46">
        <f>IF(O39&gt;0,"raised","paid")</f>
        <v>69</v>
      </c>
      <c r="N39" t="s" s="46">
        <v>72</v>
      </c>
      <c r="O39" s="16">
        <f>AVERAGE(D13:D17)</f>
        <v>140.6</v>
      </c>
      <c r="P39" t="s" s="46">
        <f>P38</f>
        <v>68</v>
      </c>
      <c r="Q39" t="s" s="46">
        <v>73</v>
      </c>
      <c r="R39" s="23">
        <f>O39/K26</f>
        <v>0.28106362303221</v>
      </c>
      <c r="S39" t="s" s="46">
        <f>S34</f>
        <v>63</v>
      </c>
      <c r="T39" s="18"/>
    </row>
    <row r="40" ht="44.05" customHeight="1">
      <c r="I40" s="28"/>
      <c r="J40" t="s" s="45">
        <v>90</v>
      </c>
      <c r="K40" t="s" s="46">
        <v>77</v>
      </c>
      <c r="L40" s="16">
        <f>MAX(G3:G17)</f>
        <v>1926.285714285720</v>
      </c>
      <c r="M40" t="s" s="46">
        <f>P39</f>
        <v>68</v>
      </c>
      <c r="N40" t="s" s="46">
        <v>78</v>
      </c>
      <c r="O40" s="20">
        <f>$A17</f>
        <v>2021</v>
      </c>
      <c r="P40" s="18"/>
      <c r="Q40" s="18"/>
      <c r="R40" s="18"/>
      <c r="S40" s="18"/>
      <c r="T40" s="18"/>
    </row>
    <row r="41" ht="44.05" customHeight="1">
      <c r="I41" s="28"/>
      <c r="J41" t="s" s="45">
        <v>79</v>
      </c>
      <c r="K41" t="s" s="46">
        <f>K39</f>
        <v>89</v>
      </c>
      <c r="L41" t="s" s="46">
        <v>80</v>
      </c>
      <c r="M41" t="s" s="46">
        <v>87</v>
      </c>
      <c r="N41" t="s" s="46">
        <f>IF(P41&lt;L40,"down","up")</f>
        <v>82</v>
      </c>
      <c r="O41" t="s" s="46">
        <v>83</v>
      </c>
      <c r="P41" s="16">
        <f>G17</f>
        <v>1926.285714285720</v>
      </c>
      <c r="Q41" t="s" s="46">
        <f>P39</f>
        <v>68</v>
      </c>
      <c r="R41" s="23">
        <f>AVERAGE(D3:D17)/K26</f>
        <v>0.256713533358146</v>
      </c>
      <c r="S41" t="s" s="46">
        <f>S39</f>
        <v>63</v>
      </c>
      <c r="T41" t="s" s="46">
        <v>64</v>
      </c>
    </row>
  </sheetData>
  <mergeCells count="2">
    <mergeCell ref="A1:H1"/>
    <mergeCell ref="I19:T19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