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<sst xmlns="http://schemas.openxmlformats.org/spreadsheetml/2006/main" uniqueCount="62">
  <si>
    <t>Financial model</t>
  </si>
  <si>
    <t>$m</t>
  </si>
  <si>
    <t>4Q 2022</t>
  </si>
  <si>
    <t xml:space="preserve">Cashflow </t>
  </si>
  <si>
    <t xml:space="preserve">Growth </t>
  </si>
  <si>
    <t xml:space="preserve">Sales 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</si>
  <si>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</si>
  <si>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</si>
  <si>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</si>
  <si>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</si>
  <si>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</si>
  <si>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</si>
  <si>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</si>
  <si>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>Equity</t>
  </si>
  <si>
    <t xml:space="preserve">Before revolver </t>
  </si>
  <si>
    <t>Beginning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</si>
  <si>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</si>
  <si>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</si>
  <si>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</si>
  <si>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</si>
  <si>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</si>
  <si>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</si>
  <si>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</si>
  <si>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</si>
  <si>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</si>
  <si>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Equity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</si>
  <si>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</si>
  <si>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</si>
  <si>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</si>
  <si>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</si>
  <si>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</si>
  <si>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</si>
  <si>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</si>
  <si>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</si>
  <si>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</si>
  <si>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</si>
  <si>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</si>
  <si>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</si>
  <si>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</si>
  <si>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</si>
  <si>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</si>
  <si>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</si>
  <si>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</si>
  <si>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</si>
  <si>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Net profit</t>
  </si>
  <si>
    <t xml:space="preserve">Sales growth </t>
  </si>
  <si>
    <t xml:space="preserve">Cost ratio </t>
  </si>
  <si>
    <t>Cashflow costs</t>
  </si>
  <si>
    <t>Cashflow</t>
  </si>
  <si>
    <t>Receipts</t>
  </si>
  <si>
    <t xml:space="preserve">Lease </t>
  </si>
  <si>
    <t>Finance</t>
  </si>
  <si>
    <t xml:space="preserve">Free cashflow </t>
  </si>
  <si>
    <t>Capital</t>
  </si>
  <si>
    <t xml:space="preserve">Cash </t>
  </si>
  <si>
    <t>Assets</t>
  </si>
  <si>
    <t>Check</t>
  </si>
  <si>
    <t>Net cash</t>
  </si>
  <si>
    <t>Kobexindo Tractors Tbk (KOBX) Historical Prices - Investing.com</t>
  </si>
  <si>
    <t>KOBX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</si>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</sst>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7" fontId="0" borderId="6" applyNumberFormat="1" applyFont="1" applyFill="0" applyBorder="1" applyAlignment="1" applyProtection="0">
      <alignment vertical="top" wrapText="1"/>
    </xf>
    <xf numFmtId="37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1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1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5722"/>
          <c:y val="0.0426778"/>
          <c:w val="0.8591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0283"/>
          <c:y val="0.0976567"/>
          <c:w val="0.304128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576596</xdr:colOff>
      <xdr:row>2</xdr:row>
      <xdr:rowOff>121610</xdr:rowOff>
    </xdr:from>
    <xdr:to>
      <xdr:col>13</xdr:col>
      <xdr:colOff>201089</xdr:colOff>
      <xdr:row>47</xdr:row>
      <xdr:rowOff>82313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46996" y="716605"/>
          <a:ext cx="8336694" cy="114243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21</xdr:col>
      <xdr:colOff>303570</xdr:colOff>
      <xdr:row>34</xdr:row>
      <xdr:rowOff>59322</xdr:rowOff>
    </xdr:from>
    <xdr:to>
      <xdr:col>23</xdr:col>
      <xdr:colOff>1238581</xdr:colOff>
      <xdr:row>48</xdr:row>
      <xdr:rowOff>8725</xdr:rowOff>
    </xdr:to>
    <xdr:graphicFrame>
      <xdr:nvGraphicFramePr>
        <xdr:cNvPr id="4" name="2D Line Chart"/>
        <xdr:cNvGraphicFramePr/>
      </xdr:nvGraphicFramePr>
      <xdr:xfrm>
        <a:off x="18934470" y="8906777"/>
        <a:ext cx="3424212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5625" style="1" customWidth="1"/>
    <col min="2" max="2" width="15.4375" style="1" customWidth="1"/>
    <col min="3" max="6" width="9.4375" style="1" customWidth="1"/>
    <col min="7" max="16384" width="16.3516" style="1" customWidth="1"/>
  </cols>
  <sheetData>
    <row r="1" ht="19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AVERAGE('Sales'!G20:G23)</f>
        <v>0.201386755926602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-0.05</v>
      </c>
      <c r="D5" s="12">
        <v>0.07000000000000001</v>
      </c>
      <c r="E5" s="12">
        <v>0.07000000000000001</v>
      </c>
      <c r="F5" s="12">
        <v>0.07000000000000001</v>
      </c>
    </row>
    <row r="6" ht="20.05" customHeight="1">
      <c r="B6" t="s" s="10">
        <v>5</v>
      </c>
      <c r="C6" s="13">
        <f>'Sales'!C23*(1+C5)</f>
        <v>28.31</v>
      </c>
      <c r="D6" s="14">
        <f>C6*(1+D5)</f>
        <v>30.2917</v>
      </c>
      <c r="E6" s="14">
        <f>D6*(1+E5)</f>
        <v>32.412119</v>
      </c>
      <c r="F6" s="14">
        <f>E6*(1+F5)</f>
        <v>34.68096733</v>
      </c>
    </row>
    <row r="7" ht="20.05" customHeight="1">
      <c r="B7" t="s" s="10">
        <v>6</v>
      </c>
      <c r="C7" s="15">
        <f>AVERAGE('Sales'!I23)</f>
        <v>-0.865979440902779</v>
      </c>
      <c r="D7" s="16">
        <f>C7</f>
        <v>-0.865979440902779</v>
      </c>
      <c r="E7" s="16">
        <f>D7</f>
        <v>-0.865979440902779</v>
      </c>
      <c r="F7" s="16">
        <f>E7</f>
        <v>-0.865979440902779</v>
      </c>
    </row>
    <row r="8" ht="20.05" customHeight="1">
      <c r="B8" t="s" s="10">
        <v>7</v>
      </c>
      <c r="C8" s="17">
        <f>C6*C7</f>
        <v>-24.5158779719577</v>
      </c>
      <c r="D8" s="18">
        <f>D6*D7</f>
        <v>-26.2319894299947</v>
      </c>
      <c r="E8" s="18">
        <f>E6*E7</f>
        <v>-28.0682286900943</v>
      </c>
      <c r="F8" s="18">
        <f>F6*F7</f>
        <v>-30.0330046984009</v>
      </c>
    </row>
    <row r="9" ht="20.05" customHeight="1">
      <c r="B9" t="s" s="10">
        <v>8</v>
      </c>
      <c r="C9" s="17">
        <f>C6+C8</f>
        <v>3.7941220280423</v>
      </c>
      <c r="D9" s="18">
        <f>D6+D8</f>
        <v>4.0597105700053</v>
      </c>
      <c r="E9" s="18">
        <f>E6+E8</f>
        <v>4.3438903099057</v>
      </c>
      <c r="F9" s="18">
        <f>F6+F8</f>
        <v>4.6479626315991</v>
      </c>
    </row>
    <row r="10" ht="20.05" customHeight="1">
      <c r="B10" t="s" s="10">
        <v>9</v>
      </c>
      <c r="C10" s="17">
        <f>AVERAGE('Cashflow '!E20:E23)</f>
        <v>0.95</v>
      </c>
      <c r="D10" s="18">
        <f>C10</f>
        <v>0.95</v>
      </c>
      <c r="E10" s="18">
        <f>D10</f>
        <v>0.95</v>
      </c>
      <c r="F10" s="18">
        <f>E10</f>
        <v>0.95</v>
      </c>
    </row>
    <row r="11" ht="20.05" customHeight="1">
      <c r="B11" t="s" s="10">
        <v>10</v>
      </c>
      <c r="C11" s="17">
        <f>C12+C14+C13</f>
        <v>-4.37191220280423</v>
      </c>
      <c r="D11" s="18">
        <f>D12+D14+D13</f>
        <v>-4.19572105700053</v>
      </c>
      <c r="E11" s="18">
        <f>E12+E14+E13</f>
        <v>-4.03152653099057</v>
      </c>
      <c r="F11" s="18">
        <f>F12+F14+F13</f>
        <v>-3.87895188815991</v>
      </c>
    </row>
    <row r="12" ht="20.05" customHeight="1">
      <c r="B12" t="s" s="10">
        <v>11</v>
      </c>
      <c r="C12" s="17">
        <f>-('Balance sheet'!F30)/20</f>
        <v>-4.055</v>
      </c>
      <c r="D12" s="18">
        <f>-C26/20</f>
        <v>-3.85225</v>
      </c>
      <c r="E12" s="18">
        <f>-D26/20</f>
        <v>-3.6596375</v>
      </c>
      <c r="F12" s="18">
        <f>-E26/20</f>
        <v>-3.476655625</v>
      </c>
    </row>
    <row r="13" ht="20.05" customHeight="1">
      <c r="B13" t="s" s="10">
        <v>12</v>
      </c>
      <c r="C13" s="17">
        <f>-MIN(0,C15)</f>
        <v>0</v>
      </c>
      <c r="D13" s="18">
        <f>-MIN(C27,D15)</f>
        <v>0</v>
      </c>
      <c r="E13" s="18">
        <f>-MIN(D27,E15)</f>
        <v>0</v>
      </c>
      <c r="F13" s="18">
        <f>-MIN(E27,F15)</f>
        <v>0</v>
      </c>
    </row>
    <row r="14" ht="20.05" customHeight="1">
      <c r="B14" t="s" s="10">
        <v>13</v>
      </c>
      <c r="C14" s="17">
        <f>IF(C21&gt;0,-C21*0.1,0)</f>
        <v>-0.31691220280423</v>
      </c>
      <c r="D14" s="18">
        <f>IF(D21&gt;0,-D21*0.1,0)</f>
        <v>-0.34347105700053</v>
      </c>
      <c r="E14" s="18">
        <f>IF(E21&gt;0,-E21*0.1,0)</f>
        <v>-0.37188903099057</v>
      </c>
      <c r="F14" s="18">
        <f>IF(F21&gt;0,-F21*0.1,0)</f>
        <v>-0.40229626315991</v>
      </c>
    </row>
    <row r="15" ht="20.05" customHeight="1">
      <c r="B15" t="s" s="10">
        <v>14</v>
      </c>
      <c r="C15" s="17">
        <f>C9+C10+C12+C14</f>
        <v>0.37220982523807</v>
      </c>
      <c r="D15" s="18">
        <f>D9+D10+D12+D14</f>
        <v>0.81398951300477</v>
      </c>
      <c r="E15" s="18">
        <f>E9+E10+E12+E14</f>
        <v>1.26236377891513</v>
      </c>
      <c r="F15" s="18">
        <f>F9+F10+F12+F14</f>
        <v>1.71901074343919</v>
      </c>
    </row>
    <row r="16" ht="20.05" customHeight="1">
      <c r="B16" t="s" s="10">
        <v>15</v>
      </c>
      <c r="C16" s="17">
        <f>'Balance sheet'!B30</f>
        <v>4.4</v>
      </c>
      <c r="D16" s="18">
        <f>C18</f>
        <v>4.77220982523807</v>
      </c>
      <c r="E16" s="18">
        <f>D18</f>
        <v>5.58619933824284</v>
      </c>
      <c r="F16" s="18">
        <f>E18</f>
        <v>6.84856311715797</v>
      </c>
    </row>
    <row r="17" ht="20.05" customHeight="1">
      <c r="B17" t="s" s="10">
        <v>16</v>
      </c>
      <c r="C17" s="17">
        <f>C9+C10+C11</f>
        <v>0.37220982523807</v>
      </c>
      <c r="D17" s="18">
        <f>D9+D10+D11</f>
        <v>0.81398951300477</v>
      </c>
      <c r="E17" s="18">
        <f>E9+E10+E11</f>
        <v>1.26236377891513</v>
      </c>
      <c r="F17" s="18">
        <f>F9+F10+F11</f>
        <v>1.71901074343919</v>
      </c>
    </row>
    <row r="18" ht="20.05" customHeight="1">
      <c r="B18" t="s" s="10">
        <v>17</v>
      </c>
      <c r="C18" s="17">
        <f>C16+C17</f>
        <v>4.77220982523807</v>
      </c>
      <c r="D18" s="18">
        <f>D16+D17</f>
        <v>5.58619933824284</v>
      </c>
      <c r="E18" s="18">
        <f>E16+E17</f>
        <v>6.84856311715797</v>
      </c>
      <c r="F18" s="18">
        <f>F16+F17</f>
        <v>8.567573860597159</v>
      </c>
    </row>
    <row r="19" ht="20.05" customHeight="1">
      <c r="B19" t="s" s="19">
        <v>18</v>
      </c>
      <c r="C19" s="17"/>
      <c r="D19" s="18"/>
      <c r="E19" s="18"/>
      <c r="F19" s="20"/>
    </row>
    <row r="20" ht="20.05" customHeight="1">
      <c r="B20" t="s" s="10">
        <v>19</v>
      </c>
      <c r="C20" s="17">
        <f>-AVERAGE('Sales'!E23)</f>
        <v>-0.625</v>
      </c>
      <c r="D20" s="18">
        <f>C20</f>
        <v>-0.625</v>
      </c>
      <c r="E20" s="18">
        <f>D20</f>
        <v>-0.625</v>
      </c>
      <c r="F20" s="18">
        <f>E20</f>
        <v>-0.625</v>
      </c>
    </row>
    <row r="21" ht="20.05" customHeight="1">
      <c r="B21" t="s" s="10">
        <v>20</v>
      </c>
      <c r="C21" s="17">
        <f>C6+C8+C20</f>
        <v>3.1691220280423</v>
      </c>
      <c r="D21" s="18">
        <f>D6+D8+D20</f>
        <v>3.4347105700053</v>
      </c>
      <c r="E21" s="18">
        <f>E6+E8+E20</f>
        <v>3.7188903099057</v>
      </c>
      <c r="F21" s="18">
        <f>F6+F8+F20</f>
        <v>4.0229626315991</v>
      </c>
    </row>
    <row r="22" ht="20.05" customHeight="1">
      <c r="B22" t="s" s="19">
        <v>21</v>
      </c>
      <c r="C22" s="17"/>
      <c r="D22" s="18"/>
      <c r="E22" s="18"/>
      <c r="F22" s="20"/>
    </row>
    <row r="23" ht="20.05" customHeight="1">
      <c r="B23" t="s" s="10">
        <v>22</v>
      </c>
      <c r="C23" s="17">
        <f>'Balance sheet'!D30+'Balance sheet'!E30-C10</f>
        <v>131.15</v>
      </c>
      <c r="D23" s="18">
        <f>C23-D10</f>
        <v>130.2</v>
      </c>
      <c r="E23" s="18">
        <f>D23-E10</f>
        <v>129.25</v>
      </c>
      <c r="F23" s="18">
        <f>E23-F10</f>
        <v>128.3</v>
      </c>
    </row>
    <row r="24" ht="20.05" customHeight="1">
      <c r="B24" t="s" s="10">
        <v>23</v>
      </c>
      <c r="C24" s="17">
        <f>'Balance sheet'!E30-C20</f>
        <v>20.625</v>
      </c>
      <c r="D24" s="18">
        <f>C24-D20</f>
        <v>21.25</v>
      </c>
      <c r="E24" s="18">
        <f>D24-E20</f>
        <v>21.875</v>
      </c>
      <c r="F24" s="18">
        <f>E24-F20</f>
        <v>22.5</v>
      </c>
    </row>
    <row r="25" ht="20.05" customHeight="1">
      <c r="B25" t="s" s="10">
        <v>24</v>
      </c>
      <c r="C25" s="17">
        <f>C23-C24</f>
        <v>110.525</v>
      </c>
      <c r="D25" s="18">
        <f>D23-D24</f>
        <v>108.95</v>
      </c>
      <c r="E25" s="18">
        <f>E23-E24</f>
        <v>107.375</v>
      </c>
      <c r="F25" s="18">
        <f>F23-F24</f>
        <v>105.8</v>
      </c>
    </row>
    <row r="26" ht="20.05" customHeight="1">
      <c r="B26" t="s" s="10">
        <v>11</v>
      </c>
      <c r="C26" s="17">
        <f>'Balance sheet'!F30+C12</f>
        <v>77.045</v>
      </c>
      <c r="D26" s="18">
        <f>C26+D12</f>
        <v>73.19275</v>
      </c>
      <c r="E26" s="18">
        <f>D26+E12</f>
        <v>69.5331125</v>
      </c>
      <c r="F26" s="18">
        <f>E26+F12</f>
        <v>66.05645687499999</v>
      </c>
    </row>
    <row r="27" ht="20.05" customHeight="1">
      <c r="B27" t="s" s="10">
        <v>12</v>
      </c>
      <c r="C27" s="17">
        <f>C13</f>
        <v>0</v>
      </c>
      <c r="D27" s="18">
        <f>C27+D13</f>
        <v>0</v>
      </c>
      <c r="E27" s="18">
        <f>D27+E13</f>
        <v>0</v>
      </c>
      <c r="F27" s="18">
        <f>E27+F13</f>
        <v>0</v>
      </c>
    </row>
    <row r="28" ht="20.05" customHeight="1">
      <c r="B28" t="s" s="10">
        <v>25</v>
      </c>
      <c r="C28" s="17">
        <f>'Balance sheet'!G30+C21+C14</f>
        <v>38.2522098252381</v>
      </c>
      <c r="D28" s="18">
        <f>C28+D21+D14</f>
        <v>41.3434493382429</v>
      </c>
      <c r="E28" s="18">
        <f>D28+E21+E14</f>
        <v>44.690450617158</v>
      </c>
      <c r="F28" s="18">
        <f>E28+F21+F14</f>
        <v>48.3111169855972</v>
      </c>
    </row>
    <row r="29" ht="20.05" customHeight="1">
      <c r="B29" t="s" s="10">
        <v>26</v>
      </c>
      <c r="C29" s="17">
        <f>C26+C27+C28-C18-C25</f>
        <v>3e-14</v>
      </c>
      <c r="D29" s="18">
        <f>D26+D27+D28-D18-D25</f>
        <v>6e-14</v>
      </c>
      <c r="E29" s="18">
        <f>E26+E27+E28-E18-E25</f>
        <v>3e-14</v>
      </c>
      <c r="F29" s="18">
        <f>F26+F27+F28-F18-F25</f>
        <v>4e-14</v>
      </c>
    </row>
    <row r="30" ht="20.05" customHeight="1">
      <c r="B30" t="s" s="10">
        <v>27</v>
      </c>
      <c r="C30" s="17">
        <f>C18-C26-C27</f>
        <v>-72.27279017476189</v>
      </c>
      <c r="D30" s="18">
        <f>D18-D26-D27</f>
        <v>-67.6065506617572</v>
      </c>
      <c r="E30" s="18">
        <f>E18-E26-E27</f>
        <v>-62.684549382842</v>
      </c>
      <c r="F30" s="18">
        <f>F18-F26-F27</f>
        <v>-57.4888830144028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/>
      <c r="D32" s="18"/>
      <c r="E32" s="18"/>
      <c r="F32" s="18">
        <v>14</v>
      </c>
    </row>
    <row r="33" ht="20.05" customHeight="1">
      <c r="B33" t="s" s="10">
        <v>30</v>
      </c>
      <c r="C33" s="17">
        <f>'Cashflow '!M23-C11</f>
        <v>38.3219122028042</v>
      </c>
      <c r="D33" s="18">
        <f>C33-D11</f>
        <v>42.5176332598047</v>
      </c>
      <c r="E33" s="18">
        <f>D33-E11</f>
        <v>46.5491597907953</v>
      </c>
      <c r="F33" s="18">
        <f>E33-F11</f>
        <v>50.4281116789552</v>
      </c>
    </row>
    <row r="34" ht="20.05" customHeight="1">
      <c r="B34" t="s" s="10">
        <v>31</v>
      </c>
      <c r="C34" s="17"/>
      <c r="D34" s="18"/>
      <c r="E34" s="18"/>
      <c r="F34" s="18">
        <v>681749990400</v>
      </c>
    </row>
    <row r="35" ht="20.05" customHeight="1">
      <c r="B35" t="s" s="10">
        <v>31</v>
      </c>
      <c r="C35" s="17"/>
      <c r="D35" s="18"/>
      <c r="E35" s="18"/>
      <c r="F35" s="18">
        <f>(F34/1000000000)/F32</f>
        <v>48.6964278857143</v>
      </c>
    </row>
    <row r="36" ht="20.05" customHeight="1">
      <c r="B36" t="s" s="10">
        <v>32</v>
      </c>
      <c r="C36" s="17"/>
      <c r="D36" s="18"/>
      <c r="E36" s="18"/>
      <c r="F36" s="21">
        <f>F35/(F18+F25)</f>
        <v>0.425788763737093</v>
      </c>
    </row>
    <row r="37" ht="20.05" customHeight="1">
      <c r="B37" t="s" s="10">
        <v>33</v>
      </c>
      <c r="C37" s="17"/>
      <c r="D37" s="18"/>
      <c r="E37" s="18"/>
      <c r="F37" s="16">
        <f>-(C14+D14+E14+F14)/F35</f>
        <v>0.029459420664736</v>
      </c>
    </row>
    <row r="38" ht="20.05" customHeight="1">
      <c r="B38" t="s" s="10">
        <v>3</v>
      </c>
      <c r="C38" s="17"/>
      <c r="D38" s="18"/>
      <c r="E38" s="18"/>
      <c r="F38" s="18">
        <f>SUM(C9:F10)</f>
        <v>20.6456855395524</v>
      </c>
    </row>
    <row r="39" ht="20.05" customHeight="1">
      <c r="B39" t="s" s="10">
        <v>34</v>
      </c>
      <c r="C39" s="17"/>
      <c r="D39" s="18"/>
      <c r="E39" s="18"/>
      <c r="F39" s="18">
        <f>'Balance sheet'!D30/F38</f>
        <v>5.42970587173006</v>
      </c>
    </row>
    <row r="40" ht="20.05" customHeight="1">
      <c r="B40" t="s" s="10">
        <v>28</v>
      </c>
      <c r="C40" s="17"/>
      <c r="D40" s="18"/>
      <c r="E40" s="18"/>
      <c r="F40" s="18">
        <f>F35/F38</f>
        <v>2.35867333116273</v>
      </c>
    </row>
    <row r="41" ht="20.05" customHeight="1">
      <c r="B41" t="s" s="10">
        <v>35</v>
      </c>
      <c r="C41" s="17"/>
      <c r="D41" s="18"/>
      <c r="E41" s="18"/>
      <c r="F41" s="18">
        <v>5</v>
      </c>
    </row>
    <row r="42" ht="20.05" customHeight="1">
      <c r="B42" t="s" s="10">
        <v>36</v>
      </c>
      <c r="C42" s="17"/>
      <c r="D42" s="18"/>
      <c r="E42" s="18"/>
      <c r="F42" s="18">
        <f>F38*F41</f>
        <v>103.228427697762</v>
      </c>
    </row>
    <row r="43" ht="20.05" customHeight="1">
      <c r="B43" t="s" s="10">
        <v>37</v>
      </c>
      <c r="C43" s="17"/>
      <c r="D43" s="18"/>
      <c r="E43" s="18"/>
      <c r="F43" s="18">
        <f>649.9/F45</f>
        <v>2.16633333333333</v>
      </c>
    </row>
    <row r="44" ht="20.05" customHeight="1">
      <c r="B44" t="s" s="10">
        <v>38</v>
      </c>
      <c r="C44" s="17"/>
      <c r="D44" s="18"/>
      <c r="E44" s="18"/>
      <c r="F44" s="18">
        <f>(F42/F43)*F32</f>
        <v>667.117089291585</v>
      </c>
    </row>
    <row r="45" ht="20.05" customHeight="1">
      <c r="B45" t="s" s="10">
        <v>39</v>
      </c>
      <c r="C45" s="17"/>
      <c r="D45" s="18"/>
      <c r="E45" s="18"/>
      <c r="F45" s="18">
        <v>300</v>
      </c>
    </row>
    <row r="46" ht="20.05" customHeight="1">
      <c r="B46" t="s" s="10">
        <v>40</v>
      </c>
      <c r="C46" s="17"/>
      <c r="D46" s="18"/>
      <c r="E46" s="18"/>
      <c r="F46" s="16">
        <f>F44/F45-1</f>
        <v>1.22372363097195</v>
      </c>
    </row>
    <row r="47" ht="20.05" customHeight="1">
      <c r="B47" t="s" s="10">
        <v>41</v>
      </c>
      <c r="C47" s="17"/>
      <c r="D47" s="18"/>
      <c r="E47" s="18"/>
      <c r="F47" s="16">
        <f>'Sales'!C23/'Sales'!C19-1</f>
        <v>0.886075949367089</v>
      </c>
    </row>
    <row r="48" ht="20.05" customHeight="1">
      <c r="B48" t="s" s="10">
        <v>42</v>
      </c>
      <c r="C48" s="17"/>
      <c r="D48" s="18"/>
      <c r="E48" s="18"/>
      <c r="F48" s="16">
        <f>('Sales'!D21+'Sales'!D23+'Sales'!D22)/('Sales'!C22+'Sales'!C23+'Sales'!C21)-1</f>
        <v>0.105842812823164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875" style="22" customWidth="1"/>
    <col min="2" max="2" width="10.0781" style="22" customWidth="1"/>
    <col min="3" max="11" width="9.28906" style="22" customWidth="1"/>
    <col min="12" max="16384" width="16.3516" style="22" customWidth="1"/>
  </cols>
  <sheetData>
    <row r="1" ht="29.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43</v>
      </c>
      <c r="D3" t="s" s="5">
        <v>35</v>
      </c>
      <c r="E3" t="s" s="5">
        <v>19</v>
      </c>
      <c r="F3" t="s" s="5">
        <v>44</v>
      </c>
      <c r="G3" t="s" s="5">
        <v>45</v>
      </c>
      <c r="H3" t="s" s="5">
        <v>46</v>
      </c>
      <c r="I3" t="s" s="5">
        <v>46</v>
      </c>
      <c r="J3" t="s" s="5">
        <v>35</v>
      </c>
      <c r="K3" t="s" s="5">
        <v>47</v>
      </c>
    </row>
    <row r="4" ht="20.25" customHeight="1">
      <c r="B4" s="23">
        <v>2017</v>
      </c>
      <c r="C4" s="24">
        <v>13.8</v>
      </c>
      <c r="D4" s="25"/>
      <c r="E4" s="25">
        <v>0</v>
      </c>
      <c r="F4" s="25">
        <v>0.5</v>
      </c>
      <c r="G4" s="8"/>
      <c r="H4" s="26">
        <f>(E4+F4-C4)/C4</f>
        <v>-0.963768115942029</v>
      </c>
      <c r="I4" s="26"/>
      <c r="J4" s="26"/>
      <c r="K4" s="26">
        <f>('Cashflow '!D4-'Cashflow '!C4)/'Cashflow '!C4</f>
        <v>-0.7666666666666671</v>
      </c>
    </row>
    <row r="5" ht="20.05" customHeight="1">
      <c r="B5" s="27"/>
      <c r="C5" s="17">
        <v>14.8</v>
      </c>
      <c r="D5" s="18"/>
      <c r="E5" s="18">
        <v>0</v>
      </c>
      <c r="F5" s="18">
        <v>0.3</v>
      </c>
      <c r="G5" s="16">
        <f>C5/C4-1</f>
        <v>0.072463768115942</v>
      </c>
      <c r="H5" s="16">
        <f>(E5+F5-C5)/C5</f>
        <v>-0.97972972972973</v>
      </c>
      <c r="I5" s="16"/>
      <c r="J5" s="16"/>
      <c r="K5" s="16">
        <f>('Cashflow '!D5-'Cashflow '!C5)/'Cashflow '!C5</f>
        <v>-0.262773722627737</v>
      </c>
    </row>
    <row r="6" ht="20.05" customHeight="1">
      <c r="B6" s="27"/>
      <c r="C6" s="17">
        <v>16.1</v>
      </c>
      <c r="D6" s="18"/>
      <c r="E6" s="18">
        <v>0</v>
      </c>
      <c r="F6" s="18">
        <v>0.3</v>
      </c>
      <c r="G6" s="16">
        <f>C6/C5-1</f>
        <v>0.0878378378378378</v>
      </c>
      <c r="H6" s="16">
        <f>(E6+F6-C6)/C6</f>
        <v>-0.981366459627329</v>
      </c>
      <c r="I6" s="16"/>
      <c r="J6" s="16"/>
      <c r="K6" s="16">
        <f>('Cashflow '!D6-'Cashflow '!C6)/'Cashflow '!C6</f>
        <v>-1.04736842105263</v>
      </c>
    </row>
    <row r="7" ht="20.05" customHeight="1">
      <c r="B7" s="27"/>
      <c r="C7" s="17">
        <v>30.2</v>
      </c>
      <c r="D7" s="18"/>
      <c r="E7" s="18">
        <v>1.6</v>
      </c>
      <c r="F7" s="18">
        <v>0.44</v>
      </c>
      <c r="G7" s="16">
        <f>C7/C6-1</f>
        <v>0.875776397515528</v>
      </c>
      <c r="H7" s="16">
        <f>(E7+F7-C7)/C7</f>
        <v>-0.932450331125828</v>
      </c>
      <c r="I7" s="16"/>
      <c r="J7" s="16"/>
      <c r="K7" s="16">
        <f>('Cashflow '!D7-'Cashflow '!C7)/'Cashflow '!C7</f>
        <v>-0.318627450980392</v>
      </c>
    </row>
    <row r="8" ht="20.05" customHeight="1">
      <c r="B8" s="28">
        <v>2018</v>
      </c>
      <c r="C8" s="17">
        <v>23.9</v>
      </c>
      <c r="D8" s="18"/>
      <c r="E8" s="18">
        <v>0.44</v>
      </c>
      <c r="F8" s="18">
        <v>1.2</v>
      </c>
      <c r="G8" s="16">
        <f>C8/C7-1</f>
        <v>-0.208609271523179</v>
      </c>
      <c r="H8" s="16">
        <f>(E8+F8-C8)/C8</f>
        <v>-0.931380753138075</v>
      </c>
      <c r="I8" s="16">
        <f>AVERAGE(H5:H8)</f>
        <v>-0.956231818405241</v>
      </c>
      <c r="J8" s="16"/>
      <c r="K8" s="16">
        <f>('Cashflow '!D8-'Cashflow '!C8)/'Cashflow '!C8</f>
        <v>-0.637010676156584</v>
      </c>
    </row>
    <row r="9" ht="20.05" customHeight="1">
      <c r="B9" s="27"/>
      <c r="C9" s="17">
        <v>17.9</v>
      </c>
      <c r="D9" s="18"/>
      <c r="E9" s="18">
        <v>0.44</v>
      </c>
      <c r="F9" s="18">
        <v>0.3</v>
      </c>
      <c r="G9" s="16">
        <f>C9/C8-1</f>
        <v>-0.251046025104603</v>
      </c>
      <c r="H9" s="16">
        <f>(E9+F9-C9)/C9</f>
        <v>-0.958659217877095</v>
      </c>
      <c r="I9" s="16">
        <f>AVERAGE(H6:H9)</f>
        <v>-0.950964190442082</v>
      </c>
      <c r="J9" s="16"/>
      <c r="K9" s="16">
        <f>('Cashflow '!D9-'Cashflow '!C9)/'Cashflow '!C9</f>
        <v>-0.733009708737864</v>
      </c>
    </row>
    <row r="10" ht="20.05" customHeight="1">
      <c r="B10" s="27"/>
      <c r="C10" s="17">
        <v>27.7</v>
      </c>
      <c r="D10" s="18"/>
      <c r="E10" s="18">
        <v>0.52</v>
      </c>
      <c r="F10" s="18">
        <v>0.4</v>
      </c>
      <c r="G10" s="16">
        <f>C10/C9-1</f>
        <v>0.5474860335195531</v>
      </c>
      <c r="H10" s="16">
        <f>(E10+F10-C10)/C10</f>
        <v>-0.9667870036101081</v>
      </c>
      <c r="I10" s="16">
        <f>AVERAGE(H7:H10)</f>
        <v>-0.9473193264377771</v>
      </c>
      <c r="J10" s="16"/>
      <c r="K10" s="16">
        <f>('Cashflow '!D10-'Cashflow '!C10)/'Cashflow '!C10</f>
        <v>-1.11934156378601</v>
      </c>
    </row>
    <row r="11" ht="20.05" customHeight="1">
      <c r="B11" s="27"/>
      <c r="C11" s="17">
        <v>32</v>
      </c>
      <c r="D11" s="18"/>
      <c r="E11" s="18">
        <v>0.7</v>
      </c>
      <c r="F11" s="18">
        <v>1.23</v>
      </c>
      <c r="G11" s="16">
        <f>C11/C10-1</f>
        <v>0.155234657039711</v>
      </c>
      <c r="H11" s="16">
        <f>(E11+F11-C11)/C11</f>
        <v>-0.9396875</v>
      </c>
      <c r="I11" s="16">
        <f>AVERAGE(H8:H11)</f>
        <v>-0.94912861865632</v>
      </c>
      <c r="J11" s="16"/>
      <c r="K11" s="16">
        <f>('Cashflow '!D11-'Cashflow '!C11)/'Cashflow '!C11</f>
        <v>-0.894803952821167</v>
      </c>
    </row>
    <row r="12" ht="20.05" customHeight="1">
      <c r="B12" s="28">
        <v>2019</v>
      </c>
      <c r="C12" s="17">
        <v>24.8</v>
      </c>
      <c r="D12" s="18"/>
      <c r="E12" s="18">
        <v>0</v>
      </c>
      <c r="F12" s="18">
        <v>1.2</v>
      </c>
      <c r="G12" s="16">
        <f>C12/C11-1</f>
        <v>-0.225</v>
      </c>
      <c r="H12" s="16">
        <f>(E12+F12-C12)/C12</f>
        <v>-0.9516129032258061</v>
      </c>
      <c r="I12" s="16">
        <f>AVERAGE(H9:H12)</f>
        <v>-0.954186656178252</v>
      </c>
      <c r="J12" s="16"/>
      <c r="K12" s="16">
        <f>('Cashflow '!D12-'Cashflow '!C12)/'Cashflow '!C12</f>
        <v>-1.60431654676259</v>
      </c>
    </row>
    <row r="13" ht="20.05" customHeight="1">
      <c r="B13" s="27"/>
      <c r="C13" s="17">
        <v>13.2</v>
      </c>
      <c r="D13" s="18"/>
      <c r="E13" s="18">
        <v>1.27</v>
      </c>
      <c r="F13" s="18">
        <v>-0.1</v>
      </c>
      <c r="G13" s="16">
        <f>C13/C12-1</f>
        <v>-0.467741935483871</v>
      </c>
      <c r="H13" s="16">
        <f>(E13+F13-C13)/C13</f>
        <v>-0.911363636363636</v>
      </c>
      <c r="I13" s="16">
        <f>AVERAGE(H10:H13)</f>
        <v>-0.942362760799888</v>
      </c>
      <c r="J13" s="16"/>
      <c r="K13" s="16">
        <f>('Cashflow '!D13-'Cashflow '!C13)/'Cashflow '!C13</f>
        <v>-1.28251121076233</v>
      </c>
    </row>
    <row r="14" ht="20.05" customHeight="1">
      <c r="B14" s="27"/>
      <c r="C14" s="17">
        <v>16.9</v>
      </c>
      <c r="D14" s="18"/>
      <c r="E14" s="18">
        <v>0.63</v>
      </c>
      <c r="F14" s="18">
        <v>0.2</v>
      </c>
      <c r="G14" s="16">
        <f>C14/C13-1</f>
        <v>0.28030303030303</v>
      </c>
      <c r="H14" s="16">
        <f>(E14+F14-C14)/C14</f>
        <v>-0.950887573964497</v>
      </c>
      <c r="I14" s="16">
        <f>AVERAGE(H11:H14)</f>
        <v>-0.938387903388485</v>
      </c>
      <c r="J14" s="16"/>
      <c r="K14" s="16">
        <f>('Cashflow '!D14-'Cashflow '!C14)/'Cashflow '!C14</f>
        <v>-2.0530303030303</v>
      </c>
    </row>
    <row r="15" ht="20.05" customHeight="1">
      <c r="B15" s="27"/>
      <c r="C15" s="17">
        <v>16.6</v>
      </c>
      <c r="D15" s="18"/>
      <c r="E15" s="18">
        <v>0.8</v>
      </c>
      <c r="F15" s="18">
        <v>-1.2</v>
      </c>
      <c r="G15" s="16">
        <f>C15/C14-1</f>
        <v>-0.0177514792899408</v>
      </c>
      <c r="H15" s="16">
        <f>(E15+F15-C15)/C15</f>
        <v>-1.02409638554217</v>
      </c>
      <c r="I15" s="16">
        <f>AVERAGE(H12:H15)</f>
        <v>-0.959490124774027</v>
      </c>
      <c r="J15" s="16"/>
      <c r="K15" s="16">
        <f>('Cashflow '!D15-'Cashflow '!C15)/'Cashflow '!C15</f>
        <v>-1.6318407960199</v>
      </c>
    </row>
    <row r="16" ht="20.05" customHeight="1">
      <c r="B16" s="28">
        <v>2020</v>
      </c>
      <c r="C16" s="17">
        <v>13</v>
      </c>
      <c r="D16" s="18"/>
      <c r="E16" s="18">
        <v>0.74</v>
      </c>
      <c r="F16" s="18">
        <v>-1.8</v>
      </c>
      <c r="G16" s="16">
        <f>C16/C15-1</f>
        <v>-0.216867469879518</v>
      </c>
      <c r="H16" s="16">
        <f>(E16+F16-C16)/C16</f>
        <v>-1.08153846153846</v>
      </c>
      <c r="I16" s="16">
        <f>AVERAGE(H13:H16)</f>
        <v>-0.991971514352191</v>
      </c>
      <c r="J16" s="16"/>
      <c r="K16" s="16">
        <f>('Cashflow '!D16-'Cashflow '!C16)/'Cashflow '!C16</f>
        <v>-1.36363636363636</v>
      </c>
    </row>
    <row r="17" ht="20.05" customHeight="1">
      <c r="B17" s="27"/>
      <c r="C17" s="17">
        <v>10.2</v>
      </c>
      <c r="D17" s="18"/>
      <c r="E17" s="18">
        <v>0.97</v>
      </c>
      <c r="F17" s="18">
        <v>-2.2</v>
      </c>
      <c r="G17" s="16">
        <f>C17/C16-1</f>
        <v>-0.215384615384615</v>
      </c>
      <c r="H17" s="16">
        <f>(E17+F17-C17)/C17</f>
        <v>-1.12058823529412</v>
      </c>
      <c r="I17" s="16">
        <f>AVERAGE(H14:H17)</f>
        <v>-1.04427766408481</v>
      </c>
      <c r="J17" s="16"/>
      <c r="K17" s="16">
        <f>('Cashflow '!D17-'Cashflow '!C17)/'Cashflow '!C17</f>
        <v>-1.11594202898551</v>
      </c>
    </row>
    <row r="18" ht="20.05" customHeight="1">
      <c r="B18" s="27"/>
      <c r="C18" s="17">
        <v>12</v>
      </c>
      <c r="D18" s="18"/>
      <c r="E18" s="18">
        <v>0.79</v>
      </c>
      <c r="F18" s="18">
        <v>-1.4</v>
      </c>
      <c r="G18" s="16">
        <f>C18/C17-1</f>
        <v>0.176470588235294</v>
      </c>
      <c r="H18" s="16">
        <f>(E18+F18-C18)/C18</f>
        <v>-1.05083333333333</v>
      </c>
      <c r="I18" s="16">
        <f>AVERAGE(H15:H18)</f>
        <v>-1.06926410392702</v>
      </c>
      <c r="J18" s="16"/>
      <c r="K18" s="16">
        <f>('Cashflow '!D18-'Cashflow '!C18)/'Cashflow '!C18</f>
        <v>-1.31325301204819</v>
      </c>
    </row>
    <row r="19" ht="20.05" customHeight="1">
      <c r="B19" s="27"/>
      <c r="C19" s="17">
        <v>15.8</v>
      </c>
      <c r="D19" s="18"/>
      <c r="E19" s="18">
        <v>1</v>
      </c>
      <c r="F19" s="18">
        <v>-5</v>
      </c>
      <c r="G19" s="16">
        <f>C19/C18-1</f>
        <v>0.316666666666667</v>
      </c>
      <c r="H19" s="16">
        <f>(E19+F19-C19)/C19</f>
        <v>-1.25316455696203</v>
      </c>
      <c r="I19" s="16">
        <f>AVERAGE(H16:H19)</f>
        <v>-1.12653114678199</v>
      </c>
      <c r="J19" s="16"/>
      <c r="K19" s="16">
        <f>('Cashflow '!D19-'Cashflow '!C19)/'Cashflow '!C19</f>
        <v>-1.432</v>
      </c>
    </row>
    <row r="20" ht="20.05" customHeight="1">
      <c r="B20" s="28">
        <v>2021</v>
      </c>
      <c r="C20" s="17">
        <v>22.6</v>
      </c>
      <c r="D20" s="18"/>
      <c r="E20" s="18">
        <v>0.625</v>
      </c>
      <c r="F20" s="18">
        <v>1</v>
      </c>
      <c r="G20" s="16">
        <f>C20/C19-1</f>
        <v>0.430379746835443</v>
      </c>
      <c r="H20" s="16">
        <f>(E20+F20-C20)/C20</f>
        <v>-0.928097345132743</v>
      </c>
      <c r="I20" s="16">
        <f>AVERAGE(H17:H20)</f>
        <v>-1.08817086768056</v>
      </c>
      <c r="J20" s="16"/>
      <c r="K20" s="16">
        <f>('Cashflow '!D20-'Cashflow '!C20)/'Cashflow '!C20</f>
        <v>-1.01081081081081</v>
      </c>
    </row>
    <row r="21" ht="20.05" customHeight="1">
      <c r="B21" s="27"/>
      <c r="C21" s="17">
        <v>33.8</v>
      </c>
      <c r="D21" s="18">
        <f>'Model'!C6</f>
        <v>28.31</v>
      </c>
      <c r="E21" s="18">
        <v>0.625</v>
      </c>
      <c r="F21" s="18">
        <v>2</v>
      </c>
      <c r="G21" s="16">
        <f>C21/C20-1</f>
        <v>0.495575221238938</v>
      </c>
      <c r="H21" s="16">
        <f>(E21+F21-C21)/C21</f>
        <v>-0.922337278106509</v>
      </c>
      <c r="I21" s="16">
        <f>AVERAGE(H18:H21)</f>
        <v>-1.03860812838365</v>
      </c>
      <c r="J21" s="16"/>
      <c r="K21" s="16">
        <f>('Cashflow '!D21-'Cashflow '!C21)/'Cashflow '!C21</f>
        <v>-0.605166051660517</v>
      </c>
    </row>
    <row r="22" ht="20.05" customHeight="1">
      <c r="B22" s="27"/>
      <c r="C22" s="17">
        <f>89.5-SUM(C20:C21)</f>
        <v>33.1</v>
      </c>
      <c r="D22" s="18">
        <v>40.56</v>
      </c>
      <c r="E22" s="18">
        <v>0.625</v>
      </c>
      <c r="F22" s="18">
        <f>4.7-SUM(F20:F21)</f>
        <v>1.7</v>
      </c>
      <c r="G22" s="16">
        <f>C22/C21-1</f>
        <v>-0.0207100591715976</v>
      </c>
      <c r="H22" s="16">
        <f>(E22+F22-C22)/C22</f>
        <v>-0.9297583081571</v>
      </c>
      <c r="I22" s="16">
        <f>AVERAGE(H19:H22)</f>
        <v>-1.0083393720896</v>
      </c>
      <c r="J22" s="16"/>
      <c r="K22" s="16">
        <f>('Cashflow '!D22-'Cashflow '!C22)/'Cashflow '!C22</f>
        <v>-0.495283018867925</v>
      </c>
    </row>
    <row r="23" ht="20.05" customHeight="1">
      <c r="B23" s="27"/>
      <c r="C23" s="17">
        <f>119.3-C22-C21-C20</f>
        <v>29.8</v>
      </c>
      <c r="D23" s="29">
        <v>38.065</v>
      </c>
      <c r="E23" s="18">
        <v>0.625</v>
      </c>
      <c r="F23" s="18">
        <f>13.5-F22-F21-F20</f>
        <v>8.800000000000001</v>
      </c>
      <c r="G23" s="16">
        <f>C23/C22-1</f>
        <v>-0.0996978851963746</v>
      </c>
      <c r="H23" s="16">
        <f>(E23+F23-C23)/C23</f>
        <v>-0.683724832214765</v>
      </c>
      <c r="I23" s="16">
        <f>AVERAGE(H20:H23)</f>
        <v>-0.865979440902779</v>
      </c>
      <c r="J23" s="16">
        <f>I23</f>
        <v>-0.865979440902779</v>
      </c>
      <c r="K23" s="16">
        <f>('Cashflow '!D23-'Cashflow '!C23)/'Cashflow '!C23</f>
        <v>-0.426523297491039</v>
      </c>
    </row>
    <row r="24" ht="20.05" customHeight="1">
      <c r="B24" s="28">
        <v>2022</v>
      </c>
      <c r="C24" s="17"/>
      <c r="D24" s="29">
        <f>'Model'!C6</f>
        <v>28.31</v>
      </c>
      <c r="E24" s="18"/>
      <c r="F24" s="18"/>
      <c r="G24" s="12"/>
      <c r="H24" s="12"/>
      <c r="I24" s="20"/>
      <c r="J24" s="12">
        <f>'Model'!C7</f>
        <v>-0.865979440902779</v>
      </c>
      <c r="K24" s="16"/>
    </row>
    <row r="25" ht="20.05" customHeight="1">
      <c r="B25" s="27"/>
      <c r="C25" s="17"/>
      <c r="D25" s="18">
        <f>'Model'!D6</f>
        <v>30.2917</v>
      </c>
      <c r="E25" s="18"/>
      <c r="F25" s="18"/>
      <c r="G25" s="12"/>
      <c r="H25" s="12"/>
      <c r="I25" s="16"/>
      <c r="J25" s="16"/>
      <c r="K25" s="16"/>
    </row>
    <row r="26" ht="20.05" customHeight="1">
      <c r="B26" s="27"/>
      <c r="C26" s="17"/>
      <c r="D26" s="18">
        <f>'Model'!E6</f>
        <v>32.412119</v>
      </c>
      <c r="E26" s="18"/>
      <c r="F26" s="18"/>
      <c r="G26" s="12"/>
      <c r="H26" s="12"/>
      <c r="I26" s="16"/>
      <c r="J26" s="16"/>
      <c r="K26" s="16"/>
    </row>
    <row r="27" ht="20.05" customHeight="1">
      <c r="B27" s="27"/>
      <c r="C27" s="17"/>
      <c r="D27" s="18">
        <f>'Model'!F6</f>
        <v>34.68096733</v>
      </c>
      <c r="E27" s="18"/>
      <c r="F27" s="18"/>
      <c r="G27" s="12"/>
      <c r="H27" s="12"/>
      <c r="I27" s="16"/>
      <c r="J27" s="16"/>
      <c r="K27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0781" style="30" customWidth="1"/>
    <col min="2" max="2" width="7.71875" style="30" customWidth="1"/>
    <col min="3" max="15" width="10.3516" style="30" customWidth="1"/>
    <col min="16" max="16384" width="16.3516" style="30" customWidth="1"/>
  </cols>
  <sheetData>
    <row r="1" ht="16.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49</v>
      </c>
      <c r="D3" t="s" s="5">
        <v>8</v>
      </c>
      <c r="E3" t="s" s="5">
        <v>9</v>
      </c>
      <c r="F3" t="s" s="5">
        <v>50</v>
      </c>
      <c r="G3" t="s" s="5">
        <v>11</v>
      </c>
      <c r="H3" t="s" s="5">
        <v>25</v>
      </c>
      <c r="I3" t="s" s="5">
        <v>51</v>
      </c>
      <c r="J3" t="s" s="5">
        <v>52</v>
      </c>
      <c r="K3" t="s" s="5">
        <v>3</v>
      </c>
      <c r="L3" t="s" s="5">
        <v>35</v>
      </c>
      <c r="M3" t="s" s="5">
        <v>53</v>
      </c>
      <c r="N3" t="s" s="5">
        <v>35</v>
      </c>
      <c r="O3" s="31"/>
    </row>
    <row r="4" ht="20.25" customHeight="1">
      <c r="B4" s="23">
        <v>2017</v>
      </c>
      <c r="C4" s="24">
        <v>15</v>
      </c>
      <c r="D4" s="25">
        <v>3.5</v>
      </c>
      <c r="E4" s="25">
        <v>0.02</v>
      </c>
      <c r="F4" s="25">
        <v>0.475</v>
      </c>
      <c r="G4" s="25"/>
      <c r="H4" s="25"/>
      <c r="I4" s="25">
        <v>-2.4</v>
      </c>
      <c r="J4" s="25">
        <f>SUM(D4:E4)</f>
        <v>3.52</v>
      </c>
      <c r="K4" s="25">
        <f>AVERAGE(J4:J4)</f>
        <v>3.52</v>
      </c>
      <c r="L4" s="25"/>
      <c r="M4" s="25">
        <f>-(I4-F4)</f>
        <v>2.875</v>
      </c>
      <c r="N4" s="25"/>
      <c r="O4" s="25">
        <v>1</v>
      </c>
    </row>
    <row r="5" ht="20.05" customHeight="1">
      <c r="B5" s="27"/>
      <c r="C5" s="17">
        <v>13.7</v>
      </c>
      <c r="D5" s="18">
        <v>10.1</v>
      </c>
      <c r="E5" s="18">
        <v>-0.04</v>
      </c>
      <c r="F5" s="18">
        <v>0.475</v>
      </c>
      <c r="G5" s="18"/>
      <c r="H5" s="18"/>
      <c r="I5" s="18">
        <v>-11.1</v>
      </c>
      <c r="J5" s="18">
        <f>SUM(D5:E5)</f>
        <v>10.06</v>
      </c>
      <c r="K5" s="18">
        <f>AVERAGE(J4:J5)</f>
        <v>6.79</v>
      </c>
      <c r="L5" s="18"/>
      <c r="M5" s="18">
        <f>-(I5-F5)+M4</f>
        <v>14.45</v>
      </c>
      <c r="N5" s="18"/>
      <c r="O5" s="18">
        <f>1+O4</f>
        <v>2</v>
      </c>
    </row>
    <row r="6" ht="20.05" customHeight="1">
      <c r="B6" s="27"/>
      <c r="C6" s="17">
        <v>19</v>
      </c>
      <c r="D6" s="18">
        <v>-0.9</v>
      </c>
      <c r="E6" s="18">
        <v>0.08</v>
      </c>
      <c r="F6" s="18">
        <v>0.475</v>
      </c>
      <c r="G6" s="18"/>
      <c r="H6" s="18"/>
      <c r="I6" s="18">
        <v>1.3</v>
      </c>
      <c r="J6" s="18">
        <f>SUM(D6:E6)</f>
        <v>-0.82</v>
      </c>
      <c r="K6" s="18">
        <f>AVERAGE(J4:J6)</f>
        <v>4.25333333333333</v>
      </c>
      <c r="L6" s="18"/>
      <c r="M6" s="18">
        <f>-(I6-F6)+M5</f>
        <v>13.625</v>
      </c>
      <c r="N6" s="18"/>
      <c r="O6" s="18">
        <f>1+O5</f>
        <v>3</v>
      </c>
    </row>
    <row r="7" ht="20.05" customHeight="1">
      <c r="B7" s="27"/>
      <c r="C7" s="17">
        <v>20.4</v>
      </c>
      <c r="D7" s="18">
        <v>13.9</v>
      </c>
      <c r="E7" s="18">
        <v>-0.08400000000000001</v>
      </c>
      <c r="F7" s="18">
        <v>0.475</v>
      </c>
      <c r="G7" s="18"/>
      <c r="H7" s="18"/>
      <c r="I7" s="18">
        <v>-9.4</v>
      </c>
      <c r="J7" s="18">
        <f>SUM(D7:E7)</f>
        <v>13.816</v>
      </c>
      <c r="K7" s="18">
        <f>AVERAGE(J4:J7)</f>
        <v>6.644</v>
      </c>
      <c r="L7" s="18"/>
      <c r="M7" s="18">
        <f>-(I7-F7)+M6</f>
        <v>23.5</v>
      </c>
      <c r="N7" s="18"/>
      <c r="O7" s="18">
        <f>1+O6</f>
        <v>4</v>
      </c>
    </row>
    <row r="8" ht="20.05" customHeight="1">
      <c r="B8" s="28">
        <v>2018</v>
      </c>
      <c r="C8" s="17">
        <v>28.1</v>
      </c>
      <c r="D8" s="18">
        <v>10.2</v>
      </c>
      <c r="E8" s="18">
        <v>-0.005</v>
      </c>
      <c r="F8" s="18">
        <v>-0.2875</v>
      </c>
      <c r="G8" s="18"/>
      <c r="H8" s="18"/>
      <c r="I8" s="18">
        <v>-10.8</v>
      </c>
      <c r="J8" s="18">
        <f>SUM(D8:E8)</f>
        <v>10.195</v>
      </c>
      <c r="K8" s="18">
        <f>AVERAGE(J5:J8)</f>
        <v>8.312749999999999</v>
      </c>
      <c r="L8" s="18"/>
      <c r="M8" s="18">
        <f>-(I8-F8)+M7</f>
        <v>34.0125</v>
      </c>
      <c r="N8" s="18"/>
      <c r="O8" s="18">
        <f>1+O7</f>
        <v>5</v>
      </c>
    </row>
    <row r="9" ht="20.05" customHeight="1">
      <c r="B9" s="27"/>
      <c r="C9" s="17">
        <v>20.6</v>
      </c>
      <c r="D9" s="18">
        <v>5.5</v>
      </c>
      <c r="E9" s="18">
        <v>0.055</v>
      </c>
      <c r="F9" s="18">
        <v>-0.2875</v>
      </c>
      <c r="G9" s="18"/>
      <c r="H9" s="18"/>
      <c r="I9" s="18">
        <v>-1.2</v>
      </c>
      <c r="J9" s="18">
        <f>SUM(D9:E9)</f>
        <v>5.555</v>
      </c>
      <c r="K9" s="18">
        <f>AVERAGE(J6:J9)</f>
        <v>7.1865</v>
      </c>
      <c r="L9" s="18"/>
      <c r="M9" s="18">
        <f>-(I9-F9)+M8</f>
        <v>34.925</v>
      </c>
      <c r="N9" s="18"/>
      <c r="O9" s="18">
        <f>1+O8</f>
        <v>6</v>
      </c>
    </row>
    <row r="10" ht="20.05" customHeight="1">
      <c r="B10" s="27"/>
      <c r="C10" s="17">
        <v>24.3</v>
      </c>
      <c r="D10" s="18">
        <v>-2.9</v>
      </c>
      <c r="E10" s="18">
        <v>-0.08</v>
      </c>
      <c r="F10" s="18">
        <v>-0.2875</v>
      </c>
      <c r="G10" s="18"/>
      <c r="H10" s="18"/>
      <c r="I10" s="18">
        <v>-0.7</v>
      </c>
      <c r="J10" s="18">
        <f>SUM(D10:E10)</f>
        <v>-2.98</v>
      </c>
      <c r="K10" s="18">
        <f>AVERAGE(J7:J10)</f>
        <v>6.6465</v>
      </c>
      <c r="L10" s="18"/>
      <c r="M10" s="18">
        <f>-(I10-F10)+M9</f>
        <v>35.3375</v>
      </c>
      <c r="N10" s="18"/>
      <c r="O10" s="18">
        <f>1+O9</f>
        <v>7</v>
      </c>
    </row>
    <row r="11" ht="20.05" customHeight="1">
      <c r="B11" s="27"/>
      <c r="C11" s="17">
        <v>31.37</v>
      </c>
      <c r="D11" s="18">
        <v>3.3</v>
      </c>
      <c r="E11" s="18">
        <v>0.63</v>
      </c>
      <c r="F11" s="18">
        <v>-0.2875</v>
      </c>
      <c r="G11" s="18"/>
      <c r="H11" s="18"/>
      <c r="I11" s="18">
        <v>-1.5</v>
      </c>
      <c r="J11" s="18">
        <f>SUM(D11:E11)</f>
        <v>3.93</v>
      </c>
      <c r="K11" s="18">
        <f>AVERAGE(J8:J11)</f>
        <v>4.175</v>
      </c>
      <c r="L11" s="18"/>
      <c r="M11" s="18">
        <f>-(I11-F11)+M10</f>
        <v>36.55</v>
      </c>
      <c r="N11" s="18"/>
      <c r="O11" s="18">
        <f>1+O10</f>
        <v>8</v>
      </c>
    </row>
    <row r="12" ht="20.05" customHeight="1">
      <c r="B12" s="28">
        <v>2019</v>
      </c>
      <c r="C12" s="17">
        <v>13.9</v>
      </c>
      <c r="D12" s="18">
        <v>-8.4</v>
      </c>
      <c r="E12" s="18">
        <v>-0.3</v>
      </c>
      <c r="F12" s="18">
        <v>-0.425</v>
      </c>
      <c r="G12" s="18"/>
      <c r="H12" s="18"/>
      <c r="I12" s="18">
        <v>4.1</v>
      </c>
      <c r="J12" s="18">
        <f>SUM(D12:E12)</f>
        <v>-8.699999999999999</v>
      </c>
      <c r="K12" s="18">
        <f>AVERAGE(J9:J12)</f>
        <v>-0.54875</v>
      </c>
      <c r="L12" s="18"/>
      <c r="M12" s="18">
        <f>-(I12-F12)+M11</f>
        <v>32.025</v>
      </c>
      <c r="N12" s="18"/>
      <c r="O12" s="18">
        <f>1+O11</f>
        <v>9</v>
      </c>
    </row>
    <row r="13" ht="20.05" customHeight="1">
      <c r="B13" s="27"/>
      <c r="C13" s="17">
        <v>22.3</v>
      </c>
      <c r="D13" s="18">
        <v>-6.3</v>
      </c>
      <c r="E13" s="18">
        <v>-0.1</v>
      </c>
      <c r="F13" s="18">
        <v>-0.425</v>
      </c>
      <c r="G13" s="18"/>
      <c r="H13" s="18"/>
      <c r="I13" s="18">
        <v>3.9</v>
      </c>
      <c r="J13" s="18">
        <f>SUM(D13:E13)</f>
        <v>-6.4</v>
      </c>
      <c r="K13" s="18">
        <f>AVERAGE(J10:J13)</f>
        <v>-3.5375</v>
      </c>
      <c r="L13" s="18"/>
      <c r="M13" s="18">
        <f>-(I13-F13)+M12</f>
        <v>27.7</v>
      </c>
      <c r="N13" s="18"/>
      <c r="O13" s="18">
        <f>1+O12</f>
        <v>10</v>
      </c>
    </row>
    <row r="14" ht="20.05" customHeight="1">
      <c r="B14" s="27"/>
      <c r="C14" s="17">
        <v>13.2</v>
      </c>
      <c r="D14" s="18">
        <v>-13.9</v>
      </c>
      <c r="E14" s="18">
        <v>0</v>
      </c>
      <c r="F14" s="18">
        <v>-0.425</v>
      </c>
      <c r="G14" s="18"/>
      <c r="H14" s="18"/>
      <c r="I14" s="18">
        <v>14</v>
      </c>
      <c r="J14" s="18">
        <f>SUM(D14:E14)</f>
        <v>-13.9</v>
      </c>
      <c r="K14" s="18">
        <f>AVERAGE(J11:J14)</f>
        <v>-6.2675</v>
      </c>
      <c r="L14" s="18"/>
      <c r="M14" s="18">
        <f>-(I14-F14)+M13</f>
        <v>13.275</v>
      </c>
      <c r="N14" s="18"/>
      <c r="O14" s="18">
        <f>1+O13</f>
        <v>11</v>
      </c>
    </row>
    <row r="15" ht="20.05" customHeight="1">
      <c r="B15" s="27"/>
      <c r="C15" s="17">
        <v>20.1</v>
      </c>
      <c r="D15" s="18">
        <v>-12.7</v>
      </c>
      <c r="E15" s="18">
        <v>3.7</v>
      </c>
      <c r="F15" s="18">
        <v>-0.425</v>
      </c>
      <c r="G15" s="18"/>
      <c r="H15" s="18"/>
      <c r="I15" s="18">
        <v>10.5</v>
      </c>
      <c r="J15" s="18">
        <f>SUM(D15:E15)</f>
        <v>-9</v>
      </c>
      <c r="K15" s="18">
        <f>AVERAGE(J12:J15)</f>
        <v>-9.5</v>
      </c>
      <c r="L15" s="18"/>
      <c r="M15" s="18">
        <f>-(I15-F15)+M14</f>
        <v>2.35</v>
      </c>
      <c r="N15" s="18"/>
      <c r="O15" s="18">
        <f>1+O14</f>
        <v>12</v>
      </c>
    </row>
    <row r="16" ht="20.05" customHeight="1">
      <c r="B16" s="28">
        <v>2020</v>
      </c>
      <c r="C16" s="17">
        <v>14.3</v>
      </c>
      <c r="D16" s="18">
        <v>-5.2</v>
      </c>
      <c r="E16" s="18">
        <v>0.3</v>
      </c>
      <c r="F16" s="18">
        <v>-0.575</v>
      </c>
      <c r="G16" s="18"/>
      <c r="H16" s="18"/>
      <c r="I16" s="18">
        <v>1.95</v>
      </c>
      <c r="J16" s="18">
        <f>SUM(D16:E16)</f>
        <v>-4.9</v>
      </c>
      <c r="K16" s="18">
        <f>AVERAGE(J13:J16)</f>
        <v>-8.550000000000001</v>
      </c>
      <c r="L16" s="18"/>
      <c r="M16" s="18">
        <f>-(I16-F16)+M15</f>
        <v>-0.175</v>
      </c>
      <c r="N16" s="18"/>
      <c r="O16" s="18">
        <f>1+O15</f>
        <v>13</v>
      </c>
    </row>
    <row r="17" ht="20.05" customHeight="1">
      <c r="B17" s="27"/>
      <c r="C17" s="17">
        <v>13.8</v>
      </c>
      <c r="D17" s="18">
        <v>-1.6</v>
      </c>
      <c r="E17" s="18">
        <v>-0.6</v>
      </c>
      <c r="F17" s="18">
        <v>-0.575</v>
      </c>
      <c r="G17" s="18"/>
      <c r="H17" s="18"/>
      <c r="I17" s="18">
        <v>2.05</v>
      </c>
      <c r="J17" s="18">
        <f>SUM(D17:E17)</f>
        <v>-2.2</v>
      </c>
      <c r="K17" s="18">
        <f>AVERAGE(J14:J17)</f>
        <v>-7.5</v>
      </c>
      <c r="L17" s="18"/>
      <c r="M17" s="18">
        <f>-(I17-F17)+M16</f>
        <v>-2.8</v>
      </c>
      <c r="N17" s="18"/>
      <c r="O17" s="18">
        <f>1+O16</f>
        <v>14</v>
      </c>
    </row>
    <row r="18" ht="20.05" customHeight="1">
      <c r="B18" s="27"/>
      <c r="C18" s="17">
        <v>8.300000000000001</v>
      </c>
      <c r="D18" s="18">
        <v>-2.6</v>
      </c>
      <c r="E18" s="18">
        <v>0.4</v>
      </c>
      <c r="F18" s="18">
        <v>-0.575</v>
      </c>
      <c r="G18" s="18"/>
      <c r="H18" s="18"/>
      <c r="I18" s="18">
        <v>2.6</v>
      </c>
      <c r="J18" s="18">
        <f>SUM(D18:E18)</f>
        <v>-2.2</v>
      </c>
      <c r="K18" s="18">
        <f>AVERAGE(J15:J18)</f>
        <v>-4.575</v>
      </c>
      <c r="L18" s="18"/>
      <c r="M18" s="18">
        <f>-(I18-F18)+M17</f>
        <v>-5.975</v>
      </c>
      <c r="N18" s="18"/>
      <c r="O18" s="18">
        <f>1+O17</f>
        <v>15</v>
      </c>
    </row>
    <row r="19" ht="20.05" customHeight="1">
      <c r="B19" s="27"/>
      <c r="C19" s="17">
        <v>12.5</v>
      </c>
      <c r="D19" s="18">
        <v>-5.4</v>
      </c>
      <c r="E19" s="18">
        <v>1</v>
      </c>
      <c r="F19" s="18">
        <v>-0.575</v>
      </c>
      <c r="G19" s="18"/>
      <c r="H19" s="18"/>
      <c r="I19" s="18">
        <v>4.8</v>
      </c>
      <c r="J19" s="18">
        <f>SUM(D19:E19)</f>
        <v>-4.4</v>
      </c>
      <c r="K19" s="18">
        <f>AVERAGE(J16:J19)</f>
        <v>-3.425</v>
      </c>
      <c r="L19" s="18"/>
      <c r="M19" s="18">
        <f>-(I19-F19)+M18</f>
        <v>-11.35</v>
      </c>
      <c r="N19" s="18"/>
      <c r="O19" s="18">
        <f>1+O18</f>
        <v>16</v>
      </c>
    </row>
    <row r="20" ht="20.05" customHeight="1">
      <c r="B20" s="28">
        <v>2021</v>
      </c>
      <c r="C20" s="17">
        <v>18.5</v>
      </c>
      <c r="D20" s="18">
        <v>-0.2</v>
      </c>
      <c r="E20" s="18">
        <v>0.3</v>
      </c>
      <c r="F20" s="18">
        <v>-0.85</v>
      </c>
      <c r="G20" s="18">
        <f>0.312-F20</f>
        <v>1.162</v>
      </c>
      <c r="H20" s="18"/>
      <c r="I20" s="18">
        <v>0.3</v>
      </c>
      <c r="J20" s="18">
        <f>SUM(D20:E20)</f>
        <v>0.1</v>
      </c>
      <c r="K20" s="18">
        <f>AVERAGE(J17:J20)</f>
        <v>-2.175</v>
      </c>
      <c r="L20" s="18"/>
      <c r="M20" s="18">
        <f>-(I20-F20)+M19</f>
        <v>-12.5</v>
      </c>
      <c r="N20" s="18"/>
      <c r="O20" s="18">
        <f>1+O19</f>
        <v>17</v>
      </c>
    </row>
    <row r="21" ht="20.05" customHeight="1">
      <c r="B21" s="27"/>
      <c r="C21" s="17">
        <v>27.1</v>
      </c>
      <c r="D21" s="18">
        <v>10.7</v>
      </c>
      <c r="E21" s="18">
        <v>-2.5</v>
      </c>
      <c r="F21" s="18">
        <v>-0.85</v>
      </c>
      <c r="G21" s="18">
        <f>-6.754-F21-F20-G20</f>
        <v>-6.216</v>
      </c>
      <c r="H21" s="18"/>
      <c r="I21" s="18">
        <v>-7.1</v>
      </c>
      <c r="J21" s="18">
        <f>SUM(D21:E21)</f>
        <v>8.199999999999999</v>
      </c>
      <c r="K21" s="18">
        <f>AVERAGE(J18:J21)</f>
        <v>0.425</v>
      </c>
      <c r="L21" s="18"/>
      <c r="M21" s="18">
        <f>-(I21-F21)+M20</f>
        <v>-6.25</v>
      </c>
      <c r="N21" s="18"/>
      <c r="O21" s="18">
        <f>1+O20</f>
        <v>18</v>
      </c>
    </row>
    <row r="22" ht="20.05" customHeight="1">
      <c r="B22" s="27"/>
      <c r="C22" s="17">
        <f>88-SUM(C20:C21)</f>
        <v>42.4</v>
      </c>
      <c r="D22" s="18">
        <f>31.9-SUM(D20:D21)</f>
        <v>21.4</v>
      </c>
      <c r="E22" s="18">
        <f>-3.2-SUM(E20:E21)</f>
        <v>-1</v>
      </c>
      <c r="F22" s="18">
        <v>-0.85</v>
      </c>
      <c r="G22" s="18">
        <f>-28.138-F22-F21-F20-G21-G20</f>
        <v>-20.534</v>
      </c>
      <c r="H22" s="18"/>
      <c r="I22" s="18">
        <f>-28.1-SUM(I20:I21)</f>
        <v>-21.3</v>
      </c>
      <c r="J22" s="18">
        <f>SUM(D22:E22)</f>
        <v>20.4</v>
      </c>
      <c r="K22" s="18">
        <f>AVERAGE(J19:J22)</f>
        <v>6.075</v>
      </c>
      <c r="L22" s="18"/>
      <c r="M22" s="18">
        <f>-(I22-F22)+M21</f>
        <v>14.2</v>
      </c>
      <c r="N22" s="18"/>
      <c r="O22" s="18">
        <f>1+O21</f>
        <v>19</v>
      </c>
    </row>
    <row r="23" ht="20.05" customHeight="1">
      <c r="B23" s="27"/>
      <c r="C23" s="17">
        <f>115.9-C22-C21-C20</f>
        <v>27.9</v>
      </c>
      <c r="D23" s="18">
        <f>47.9-D22-D21-D20</f>
        <v>16</v>
      </c>
      <c r="E23" s="18">
        <f>3.8-E22-E21-E20</f>
        <v>7</v>
      </c>
      <c r="F23" s="18">
        <v>-0.85</v>
      </c>
      <c r="G23" s="18">
        <f>-45.3-G22-G21-G20</f>
        <v>-19.712</v>
      </c>
      <c r="H23" s="18"/>
      <c r="I23" s="18">
        <f>-48.7-I22-I21-I20</f>
        <v>-20.6</v>
      </c>
      <c r="J23" s="18">
        <f>SUM(D23:E23)</f>
        <v>23</v>
      </c>
      <c r="K23" s="18">
        <f>AVERAGE(J20:J23)</f>
        <v>12.925</v>
      </c>
      <c r="L23" s="18">
        <f>K23</f>
        <v>12.925</v>
      </c>
      <c r="M23" s="18">
        <f>-(I23-F23)+M22</f>
        <v>33.95</v>
      </c>
      <c r="N23" s="18">
        <f>M23</f>
        <v>33.95</v>
      </c>
      <c r="O23" s="18">
        <f>1+O22</f>
        <v>20</v>
      </c>
    </row>
    <row r="24" ht="20.05" customHeight="1">
      <c r="B24" s="28">
        <v>2022</v>
      </c>
      <c r="C24" s="17"/>
      <c r="D24" s="18"/>
      <c r="E24" s="18"/>
      <c r="F24" s="18"/>
      <c r="G24" s="18"/>
      <c r="H24" s="18"/>
      <c r="I24" s="18"/>
      <c r="J24" s="18"/>
      <c r="K24" s="20"/>
      <c r="L24" s="18">
        <f>SUM('Model'!F9:F10)</f>
        <v>5.5979626315991</v>
      </c>
      <c r="M24" s="20"/>
      <c r="N24" s="18">
        <f>'Model'!F33</f>
        <v>50.4281116789552</v>
      </c>
      <c r="O24" s="18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78125" style="32" customWidth="1"/>
    <col min="2" max="10" width="10.4766" style="32" customWidth="1"/>
    <col min="11" max="16384" width="16.3516" style="32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3">
        <v>1</v>
      </c>
      <c r="B2" t="s" s="5">
        <v>54</v>
      </c>
      <c r="C2" t="s" s="5">
        <v>55</v>
      </c>
      <c r="D2" t="s" s="5">
        <v>22</v>
      </c>
      <c r="E2" t="s" s="5">
        <v>23</v>
      </c>
      <c r="F2" t="s" s="5">
        <v>11</v>
      </c>
      <c r="G2" t="s" s="5">
        <v>25</v>
      </c>
      <c r="H2" t="s" s="5">
        <v>56</v>
      </c>
      <c r="I2" t="s" s="5">
        <v>57</v>
      </c>
      <c r="J2" t="s" s="5">
        <v>35</v>
      </c>
    </row>
    <row r="3" ht="19.75" customHeight="1">
      <c r="A3" s="23">
        <v>2015</v>
      </c>
      <c r="B3" s="24"/>
      <c r="C3" s="25"/>
      <c r="D3" s="25">
        <f>C3-B3</f>
        <v>0</v>
      </c>
      <c r="E3" s="25"/>
      <c r="F3" s="25"/>
      <c r="G3" s="25"/>
      <c r="H3" s="25">
        <f>F3+G3-D3-B3</f>
        <v>0</v>
      </c>
      <c r="I3" s="25">
        <f>B3-F3</f>
        <v>0</v>
      </c>
      <c r="J3" s="25"/>
    </row>
    <row r="4" ht="19.75" customHeight="1">
      <c r="A4" s="27"/>
      <c r="B4" s="17"/>
      <c r="C4" s="18"/>
      <c r="D4" s="18">
        <f>C4-B4</f>
        <v>0</v>
      </c>
      <c r="E4" s="18"/>
      <c r="F4" s="18"/>
      <c r="G4" s="18"/>
      <c r="H4" s="18">
        <f>F4+G4-D4-B4</f>
        <v>0</v>
      </c>
      <c r="I4" s="18">
        <f>B4-F4</f>
        <v>0</v>
      </c>
      <c r="J4" s="18"/>
    </row>
    <row r="5" ht="19.75" customHeight="1">
      <c r="A5" s="27"/>
      <c r="B5" s="17"/>
      <c r="C5" s="18"/>
      <c r="D5" s="18">
        <f>C5-B5</f>
        <v>0</v>
      </c>
      <c r="E5" s="18"/>
      <c r="F5" s="18"/>
      <c r="G5" s="18"/>
      <c r="H5" s="18">
        <f>F5+G5-D5-B5</f>
        <v>0</v>
      </c>
      <c r="I5" s="18">
        <f>B5-F5</f>
        <v>0</v>
      </c>
      <c r="J5" s="18"/>
    </row>
    <row r="6" ht="19.75" customHeight="1">
      <c r="A6" s="27"/>
      <c r="B6" s="17"/>
      <c r="C6" s="18"/>
      <c r="D6" s="18">
        <f>C6-B6</f>
        <v>0</v>
      </c>
      <c r="E6" s="18"/>
      <c r="F6" s="18"/>
      <c r="G6" s="18"/>
      <c r="H6" s="18">
        <f>F6+G6-D6-B6</f>
        <v>0</v>
      </c>
      <c r="I6" s="18">
        <f>B6-F6</f>
        <v>0</v>
      </c>
      <c r="J6" s="18"/>
    </row>
    <row r="7" ht="19.75" customHeight="1">
      <c r="A7" s="28">
        <v>2016</v>
      </c>
      <c r="B7" s="17"/>
      <c r="C7" s="18"/>
      <c r="D7" s="18">
        <f>C7-B7</f>
        <v>0</v>
      </c>
      <c r="E7" s="18"/>
      <c r="F7" s="18"/>
      <c r="G7" s="18"/>
      <c r="H7" s="18">
        <f>F7+G7-D7-B7</f>
        <v>0</v>
      </c>
      <c r="I7" s="18">
        <f>B7-F7</f>
        <v>0</v>
      </c>
      <c r="J7" s="18"/>
    </row>
    <row r="8" ht="19.75" customHeight="1">
      <c r="A8" s="27"/>
      <c r="B8" s="17"/>
      <c r="C8" s="18"/>
      <c r="D8" s="18">
        <f>C8-B8</f>
        <v>0</v>
      </c>
      <c r="E8" s="18"/>
      <c r="F8" s="18"/>
      <c r="G8" s="18"/>
      <c r="H8" s="18">
        <f>F8+G8-D8-B8</f>
        <v>0</v>
      </c>
      <c r="I8" s="18">
        <f>B8-F8</f>
        <v>0</v>
      </c>
      <c r="J8" s="18"/>
    </row>
    <row r="9" ht="19.75" customHeight="1">
      <c r="A9" s="27"/>
      <c r="B9" s="17"/>
      <c r="C9" s="18"/>
      <c r="D9" s="18">
        <f>C9-B9</f>
        <v>0</v>
      </c>
      <c r="E9" s="18"/>
      <c r="F9" s="18"/>
      <c r="G9" s="18"/>
      <c r="H9" s="18">
        <f>F9+G9-D9-B9</f>
        <v>0</v>
      </c>
      <c r="I9" s="18">
        <f>B9-F9</f>
        <v>0</v>
      </c>
      <c r="J9" s="18"/>
    </row>
    <row r="10" ht="19.75" customHeight="1">
      <c r="A10" s="27"/>
      <c r="B10" s="17"/>
      <c r="C10" s="18"/>
      <c r="D10" s="18">
        <f>C10-B10</f>
        <v>0</v>
      </c>
      <c r="E10" s="18"/>
      <c r="F10" s="18"/>
      <c r="G10" s="18"/>
      <c r="H10" s="18">
        <f>F10+G10-D10-B10</f>
        <v>0</v>
      </c>
      <c r="I10" s="18">
        <f>B10-F10</f>
        <v>0</v>
      </c>
      <c r="J10" s="18"/>
    </row>
    <row r="11" ht="19.75" customHeight="1">
      <c r="A11" s="28">
        <v>2017</v>
      </c>
      <c r="B11" s="17"/>
      <c r="C11" s="18"/>
      <c r="D11" s="18">
        <f>C11-B11</f>
        <v>0</v>
      </c>
      <c r="E11" s="18"/>
      <c r="F11" s="18"/>
      <c r="G11" s="18"/>
      <c r="H11" s="18">
        <f>F11+G11-D11-B11</f>
        <v>0</v>
      </c>
      <c r="I11" s="18">
        <f>B11-F11</f>
        <v>0</v>
      </c>
      <c r="J11" s="18"/>
    </row>
    <row r="12" ht="19.75" customHeight="1">
      <c r="A12" s="27"/>
      <c r="B12" s="17"/>
      <c r="C12" s="18"/>
      <c r="D12" s="18">
        <f>C12-B12</f>
        <v>0</v>
      </c>
      <c r="E12" s="18"/>
      <c r="F12" s="18"/>
      <c r="G12" s="18"/>
      <c r="H12" s="18">
        <f>F12+G12-D12-B12</f>
        <v>0</v>
      </c>
      <c r="I12" s="18">
        <f>B12-F12</f>
        <v>0</v>
      </c>
      <c r="J12" s="18"/>
    </row>
    <row r="13" ht="19.75" customHeight="1">
      <c r="A13" s="27"/>
      <c r="B13" s="17"/>
      <c r="C13" s="18"/>
      <c r="D13" s="18">
        <f>C13-B13</f>
        <v>0</v>
      </c>
      <c r="E13" s="18"/>
      <c r="F13" s="18"/>
      <c r="G13" s="18"/>
      <c r="H13" s="18">
        <f>F13+G13-D13-B13</f>
        <v>0</v>
      </c>
      <c r="I13" s="18">
        <f>B13-F13</f>
        <v>0</v>
      </c>
      <c r="J13" s="18"/>
    </row>
    <row r="14" ht="19.75" customHeight="1">
      <c r="A14" s="27"/>
      <c r="B14" s="17">
        <v>6</v>
      </c>
      <c r="C14" s="18">
        <v>89</v>
      </c>
      <c r="D14" s="18">
        <f>C14-B14</f>
        <v>83</v>
      </c>
      <c r="E14" s="18">
        <f t="shared" si="34" ref="E14:E19">12+1</f>
        <v>13</v>
      </c>
      <c r="F14" s="18">
        <v>60</v>
      </c>
      <c r="G14" s="18">
        <v>29</v>
      </c>
      <c r="H14" s="18">
        <f>F14+G14-D14-B14</f>
        <v>0</v>
      </c>
      <c r="I14" s="18">
        <f>B14-F14</f>
        <v>-54</v>
      </c>
      <c r="J14" s="18"/>
    </row>
    <row r="15" ht="19.75" customHeight="1">
      <c r="A15" s="28">
        <v>2018</v>
      </c>
      <c r="B15" s="17">
        <v>5</v>
      </c>
      <c r="C15" s="18">
        <v>85</v>
      </c>
      <c r="D15" s="18">
        <f>C15-B15</f>
        <v>80</v>
      </c>
      <c r="E15" s="18">
        <f t="shared" si="38" ref="E15:E16">11+1</f>
        <v>12</v>
      </c>
      <c r="F15" s="18">
        <v>55</v>
      </c>
      <c r="G15" s="18">
        <v>30</v>
      </c>
      <c r="H15" s="18">
        <f>F15+G15-D15-B15</f>
        <v>0</v>
      </c>
      <c r="I15" s="18">
        <f>B15-F15</f>
        <v>-50</v>
      </c>
      <c r="J15" s="18"/>
    </row>
    <row r="16" ht="19.75" customHeight="1">
      <c r="A16" s="27"/>
      <c r="B16" s="17">
        <v>9</v>
      </c>
      <c r="C16" s="18">
        <v>94</v>
      </c>
      <c r="D16" s="18">
        <f>C16-B16</f>
        <v>85</v>
      </c>
      <c r="E16" s="18">
        <f t="shared" si="38"/>
        <v>12</v>
      </c>
      <c r="F16" s="18">
        <v>64</v>
      </c>
      <c r="G16" s="18">
        <v>30</v>
      </c>
      <c r="H16" s="18">
        <f>F16+G16-D16-B16</f>
        <v>0</v>
      </c>
      <c r="I16" s="18">
        <f>B16-F16</f>
        <v>-55</v>
      </c>
      <c r="J16" s="18"/>
    </row>
    <row r="17" ht="19.75" customHeight="1">
      <c r="A17" s="27"/>
      <c r="B17" s="17">
        <v>5</v>
      </c>
      <c r="C17" s="18">
        <v>100</v>
      </c>
      <c r="D17" s="18">
        <f>C17-B17</f>
        <v>95</v>
      </c>
      <c r="E17" s="18">
        <f t="shared" si="34"/>
        <v>13</v>
      </c>
      <c r="F17" s="18">
        <v>70</v>
      </c>
      <c r="G17" s="18">
        <v>30</v>
      </c>
      <c r="H17" s="18">
        <f>F17+G17-D17-B17</f>
        <v>0</v>
      </c>
      <c r="I17" s="18">
        <f>B17-F17</f>
        <v>-65</v>
      </c>
      <c r="J17" s="18"/>
    </row>
    <row r="18" ht="19.75" customHeight="1">
      <c r="A18" s="27"/>
      <c r="B18" s="17">
        <v>8</v>
      </c>
      <c r="C18" s="18">
        <v>112</v>
      </c>
      <c r="D18" s="18">
        <f>C18-B18</f>
        <v>104</v>
      </c>
      <c r="E18" s="18">
        <f t="shared" si="34"/>
        <v>13</v>
      </c>
      <c r="F18" s="18">
        <v>80</v>
      </c>
      <c r="G18" s="18">
        <v>32</v>
      </c>
      <c r="H18" s="18">
        <f>F18+G18-D18-B18</f>
        <v>0</v>
      </c>
      <c r="I18" s="18">
        <f>B18-F18</f>
        <v>-72</v>
      </c>
      <c r="J18" s="18"/>
    </row>
    <row r="19" ht="19.75" customHeight="1">
      <c r="A19" s="28">
        <v>2019</v>
      </c>
      <c r="B19" s="17">
        <v>3</v>
      </c>
      <c r="C19" s="18">
        <v>128</v>
      </c>
      <c r="D19" s="18">
        <f>C19-B19</f>
        <v>125</v>
      </c>
      <c r="E19" s="18">
        <f t="shared" si="34"/>
        <v>13</v>
      </c>
      <c r="F19" s="18">
        <v>95</v>
      </c>
      <c r="G19" s="18">
        <v>33</v>
      </c>
      <c r="H19" s="18">
        <f>F19+G19-D19-B19</f>
        <v>0</v>
      </c>
      <c r="I19" s="18">
        <f>B19-F19</f>
        <v>-92</v>
      </c>
      <c r="J19" s="18"/>
    </row>
    <row r="20" ht="19.75" customHeight="1">
      <c r="A20" s="27"/>
      <c r="B20" s="17">
        <v>1</v>
      </c>
      <c r="C20" s="18">
        <v>129</v>
      </c>
      <c r="D20" s="18">
        <f>C20-B20</f>
        <v>128</v>
      </c>
      <c r="E20" s="18">
        <f>13+1</f>
        <v>14</v>
      </c>
      <c r="F20" s="18">
        <v>96</v>
      </c>
      <c r="G20" s="18">
        <v>33</v>
      </c>
      <c r="H20" s="18">
        <f>F20+G20-D20-B20</f>
        <v>0</v>
      </c>
      <c r="I20" s="18">
        <f>B20-F20</f>
        <v>-95</v>
      </c>
      <c r="J20" s="18"/>
    </row>
    <row r="21" ht="19.75" customHeight="1">
      <c r="A21" s="27"/>
      <c r="B21" s="17">
        <v>2</v>
      </c>
      <c r="C21" s="18">
        <v>125</v>
      </c>
      <c r="D21" s="18">
        <f>C21-B21</f>
        <v>123</v>
      </c>
      <c r="E21" s="18">
        <f t="shared" si="62" ref="E21:E23">14+1</f>
        <v>15</v>
      </c>
      <c r="F21" s="18">
        <v>92</v>
      </c>
      <c r="G21" s="18">
        <v>33</v>
      </c>
      <c r="H21" s="18">
        <f>F21+G21-D21-B21</f>
        <v>0</v>
      </c>
      <c r="I21" s="18">
        <f>B21-F21</f>
        <v>-90</v>
      </c>
      <c r="J21" s="18"/>
    </row>
    <row r="22" ht="19.75" customHeight="1">
      <c r="A22" s="27"/>
      <c r="B22" s="17">
        <v>3</v>
      </c>
      <c r="C22" s="18">
        <v>123</v>
      </c>
      <c r="D22" s="18">
        <f>C22-B22</f>
        <v>120</v>
      </c>
      <c r="E22" s="18">
        <f t="shared" si="62"/>
        <v>15</v>
      </c>
      <c r="F22" s="18">
        <v>91</v>
      </c>
      <c r="G22" s="18">
        <v>32</v>
      </c>
      <c r="H22" s="18">
        <f>F22+G22-D22-B22</f>
        <v>0</v>
      </c>
      <c r="I22" s="18">
        <f>B22-F22</f>
        <v>-88</v>
      </c>
      <c r="J22" s="18"/>
    </row>
    <row r="23" ht="19.75" customHeight="1">
      <c r="A23" s="28">
        <v>2020</v>
      </c>
      <c r="B23" s="17">
        <v>1</v>
      </c>
      <c r="C23" s="18">
        <v>115</v>
      </c>
      <c r="D23" s="18">
        <f>C23-B23</f>
        <v>114</v>
      </c>
      <c r="E23" s="18">
        <f t="shared" si="62"/>
        <v>15</v>
      </c>
      <c r="F23" s="18">
        <v>86</v>
      </c>
      <c r="G23" s="18">
        <v>29</v>
      </c>
      <c r="H23" s="18">
        <f>F23+G23-D23-B23</f>
        <v>0</v>
      </c>
      <c r="I23" s="18">
        <f>B23-F23</f>
        <v>-85</v>
      </c>
      <c r="J23" s="18"/>
    </row>
    <row r="24" ht="19.75" customHeight="1">
      <c r="A24" s="27"/>
      <c r="B24" s="17">
        <v>1</v>
      </c>
      <c r="C24" s="18">
        <v>120</v>
      </c>
      <c r="D24" s="18">
        <f>C24-B24</f>
        <v>119</v>
      </c>
      <c r="E24" s="18">
        <f>15+1</f>
        <v>16</v>
      </c>
      <c r="F24" s="18">
        <v>93</v>
      </c>
      <c r="G24" s="18">
        <v>28</v>
      </c>
      <c r="H24" s="18">
        <f>F24+G24-D24-B24</f>
        <v>1</v>
      </c>
      <c r="I24" s="18">
        <f>B24-F24</f>
        <v>-92</v>
      </c>
      <c r="J24" s="33"/>
    </row>
    <row r="25" ht="19.75" customHeight="1">
      <c r="A25" s="27"/>
      <c r="B25" s="17">
        <v>1</v>
      </c>
      <c r="C25" s="18">
        <v>118</v>
      </c>
      <c r="D25" s="18">
        <f>C25-B25</f>
        <v>117</v>
      </c>
      <c r="E25" s="18">
        <f>16+1</f>
        <v>17</v>
      </c>
      <c r="F25" s="18">
        <v>92</v>
      </c>
      <c r="G25" s="18">
        <v>26</v>
      </c>
      <c r="H25" s="18">
        <f>F25+G25-D25-B25</f>
        <v>0</v>
      </c>
      <c r="I25" s="18">
        <f>B25-F25</f>
        <v>-91</v>
      </c>
      <c r="J25" s="18"/>
    </row>
    <row r="26" ht="19.75" customHeight="1">
      <c r="A26" s="27"/>
      <c r="B26" s="17">
        <v>2</v>
      </c>
      <c r="C26" s="18">
        <v>114</v>
      </c>
      <c r="D26" s="18">
        <f>C26-B26</f>
        <v>112</v>
      </c>
      <c r="E26" s="18">
        <f>1+2+16</f>
        <v>19</v>
      </c>
      <c r="F26" s="18">
        <v>92</v>
      </c>
      <c r="G26" s="18">
        <v>22</v>
      </c>
      <c r="H26" s="18">
        <f>F26+G26-D26-B26</f>
        <v>0</v>
      </c>
      <c r="I26" s="18">
        <f>B26-F26</f>
        <v>-90</v>
      </c>
      <c r="J26" s="18"/>
    </row>
    <row r="27" ht="19.75" customHeight="1">
      <c r="A27" s="28">
        <v>2021</v>
      </c>
      <c r="B27" s="17">
        <v>2</v>
      </c>
      <c r="C27" s="18">
        <v>108</v>
      </c>
      <c r="D27" s="18">
        <f>C27-B27</f>
        <v>106</v>
      </c>
      <c r="E27" s="18">
        <f>16+1+2</f>
        <v>19</v>
      </c>
      <c r="F27" s="18">
        <v>86</v>
      </c>
      <c r="G27" s="18">
        <v>22</v>
      </c>
      <c r="H27" s="18">
        <f>F27+G27-D27-B27</f>
        <v>0</v>
      </c>
      <c r="I27" s="18">
        <f>B27-F27</f>
        <v>-84</v>
      </c>
      <c r="J27" s="18"/>
    </row>
    <row r="28" ht="19.75" customHeight="1">
      <c r="A28" s="27"/>
      <c r="B28" s="17">
        <v>3</v>
      </c>
      <c r="C28" s="18">
        <v>111</v>
      </c>
      <c r="D28" s="18">
        <f>C28-B28</f>
        <v>108</v>
      </c>
      <c r="E28" s="18">
        <f t="shared" si="90" ref="E28:E30">16+2+2</f>
        <v>20</v>
      </c>
      <c r="F28" s="18">
        <v>86</v>
      </c>
      <c r="G28" s="18">
        <v>25</v>
      </c>
      <c r="H28" s="18">
        <f>F28+G28-D28-B28</f>
        <v>0</v>
      </c>
      <c r="I28" s="18">
        <f>B28-F28</f>
        <v>-83</v>
      </c>
      <c r="J28" s="18"/>
    </row>
    <row r="29" ht="19.75" customHeight="1">
      <c r="A29" s="27"/>
      <c r="B29" s="17">
        <v>2</v>
      </c>
      <c r="C29" s="18">
        <v>100</v>
      </c>
      <c r="D29" s="18">
        <f>C29-B29</f>
        <v>98</v>
      </c>
      <c r="E29" s="18">
        <f t="shared" si="90"/>
        <v>20</v>
      </c>
      <c r="F29" s="18">
        <v>74</v>
      </c>
      <c r="G29" s="18">
        <v>26</v>
      </c>
      <c r="H29" s="18">
        <f>F29+G29-D29-B29</f>
        <v>0</v>
      </c>
      <c r="I29" s="18">
        <f>B29-F29</f>
        <v>-72</v>
      </c>
      <c r="J29" s="18"/>
    </row>
    <row r="30" ht="19.75" customHeight="1">
      <c r="A30" s="27"/>
      <c r="B30" s="17">
        <f>B29+'Cashflow '!D23+'Cashflow '!E23+'Cashflow '!I23</f>
        <v>4.4</v>
      </c>
      <c r="C30" s="18">
        <v>116.5</v>
      </c>
      <c r="D30" s="18">
        <f>C30-B30</f>
        <v>112.1</v>
      </c>
      <c r="E30" s="18">
        <f t="shared" si="90"/>
        <v>20</v>
      </c>
      <c r="F30" s="18">
        <v>81.09999999999999</v>
      </c>
      <c r="G30" s="18">
        <f>C30-F30</f>
        <v>35.4</v>
      </c>
      <c r="H30" s="18">
        <f>F30+G30-D30-B30</f>
        <v>0</v>
      </c>
      <c r="I30" s="18">
        <f>B30-F30</f>
        <v>-76.7</v>
      </c>
      <c r="J30" s="18">
        <f>I30</f>
        <v>-76.7</v>
      </c>
    </row>
    <row r="31" ht="19.75" customHeight="1">
      <c r="A31" s="28">
        <v>2022</v>
      </c>
      <c r="B31" s="17"/>
      <c r="C31" s="18"/>
      <c r="D31" s="18"/>
      <c r="E31" s="18"/>
      <c r="F31" s="18"/>
      <c r="G31" s="18"/>
      <c r="H31" s="18"/>
      <c r="I31" s="18"/>
      <c r="J31" s="18">
        <f>'Model'!F30</f>
        <v>-57.4888830144028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E21"/>
  <sheetViews>
    <sheetView workbookViewId="0" showGridLines="0" defaultGridColor="1"/>
  </sheetViews>
  <sheetFormatPr defaultColWidth="8.33333" defaultRowHeight="19.9" customHeight="1" outlineLevelRow="0" outlineLevelCol="0"/>
  <cols>
    <col min="1" max="1" width="3.02344" style="34" customWidth="1"/>
    <col min="2" max="2" width="5.26562" style="34" customWidth="1"/>
    <col min="3" max="5" width="8.4375" style="34" customWidth="1"/>
    <col min="6" max="16384" width="8.35156" style="34" customWidth="1"/>
  </cols>
  <sheetData>
    <row r="1" ht="27.65" customHeight="1">
      <c r="B1" t="s" s="2">
        <v>58</v>
      </c>
      <c r="C1" s="2"/>
      <c r="D1" s="2"/>
      <c r="E1" s="2"/>
    </row>
    <row r="2" ht="20.25" customHeight="1">
      <c r="B2" s="35"/>
      <c r="C2" t="s" s="36">
        <v>59</v>
      </c>
      <c r="D2" t="s" s="36">
        <v>60</v>
      </c>
      <c r="E2" t="s" s="36">
        <v>61</v>
      </c>
    </row>
    <row r="3" ht="20.25" customHeight="1">
      <c r="B3" s="37">
        <v>2018</v>
      </c>
      <c r="C3" s="38">
        <v>183</v>
      </c>
      <c r="D3" s="39"/>
      <c r="E3" s="39"/>
    </row>
    <row r="4" ht="20.05" customHeight="1">
      <c r="B4" s="40"/>
      <c r="C4" s="41">
        <v>214</v>
      </c>
      <c r="D4" s="42"/>
      <c r="E4" s="42"/>
    </row>
    <row r="5" ht="20.05" customHeight="1">
      <c r="B5" s="40"/>
      <c r="C5" s="41">
        <v>206</v>
      </c>
      <c r="D5" s="42"/>
      <c r="E5" s="42"/>
    </row>
    <row r="6" ht="20.05" customHeight="1">
      <c r="B6" s="40"/>
      <c r="C6" s="41">
        <v>161</v>
      </c>
      <c r="D6" s="42"/>
      <c r="E6" s="42"/>
    </row>
    <row r="7" ht="20.05" customHeight="1">
      <c r="B7" s="43">
        <v>2019</v>
      </c>
      <c r="C7" s="41">
        <v>184</v>
      </c>
      <c r="D7" s="42"/>
      <c r="E7" s="42"/>
    </row>
    <row r="8" ht="20.05" customHeight="1">
      <c r="B8" s="40"/>
      <c r="C8" s="41">
        <v>184</v>
      </c>
      <c r="D8" s="42"/>
      <c r="E8" s="42"/>
    </row>
    <row r="9" ht="20.05" customHeight="1">
      <c r="B9" s="40"/>
      <c r="C9" s="41">
        <v>149</v>
      </c>
      <c r="D9" s="42"/>
      <c r="E9" s="42"/>
    </row>
    <row r="10" ht="20.05" customHeight="1">
      <c r="B10" s="40"/>
      <c r="C10" s="41">
        <v>119</v>
      </c>
      <c r="D10" s="44"/>
      <c r="E10" s="44"/>
    </row>
    <row r="11" ht="20.05" customHeight="1">
      <c r="B11" s="43">
        <v>2020</v>
      </c>
      <c r="C11" s="41">
        <v>64</v>
      </c>
      <c r="D11" s="44"/>
      <c r="E11" s="44"/>
    </row>
    <row r="12" ht="20.05" customHeight="1">
      <c r="B12" s="40"/>
      <c r="C12" s="41">
        <v>93</v>
      </c>
      <c r="D12" s="44"/>
      <c r="E12" s="44"/>
    </row>
    <row r="13" ht="20.05" customHeight="1">
      <c r="B13" s="40"/>
      <c r="C13" s="41">
        <v>97</v>
      </c>
      <c r="D13" s="44"/>
      <c r="E13" s="44"/>
    </row>
    <row r="14" ht="20.05" customHeight="1">
      <c r="B14" s="40"/>
      <c r="C14" s="41">
        <v>118</v>
      </c>
      <c r="D14" s="44"/>
      <c r="E14" s="44"/>
    </row>
    <row r="15" ht="20.05" customHeight="1">
      <c r="B15" s="43">
        <v>2021</v>
      </c>
      <c r="C15" s="41">
        <v>128</v>
      </c>
      <c r="D15" s="44"/>
      <c r="E15" s="44"/>
    </row>
    <row r="16" ht="20.05" customHeight="1">
      <c r="B16" s="40"/>
      <c r="C16" s="41">
        <v>166</v>
      </c>
      <c r="D16" s="44"/>
      <c r="E16" s="44"/>
    </row>
    <row r="17" ht="20.05" customHeight="1">
      <c r="B17" s="40"/>
      <c r="C17" s="41">
        <v>177</v>
      </c>
      <c r="D17" s="44"/>
      <c r="E17" s="44"/>
    </row>
    <row r="18" ht="20.05" customHeight="1">
      <c r="B18" s="40"/>
      <c r="C18" s="41">
        <v>250</v>
      </c>
      <c r="D18" s="44"/>
      <c r="E18" s="44"/>
    </row>
    <row r="19" ht="20.05" customHeight="1">
      <c r="B19" s="43">
        <v>2022</v>
      </c>
      <c r="C19" s="41">
        <v>276</v>
      </c>
      <c r="D19" s="44"/>
      <c r="E19" s="44"/>
    </row>
    <row r="20" ht="20.05" customHeight="1">
      <c r="B20" s="40"/>
      <c r="C20" s="41">
        <v>300</v>
      </c>
      <c r="D20" s="45">
        <f>C20</f>
        <v>300</v>
      </c>
      <c r="E20" s="42">
        <v>410.329992756419</v>
      </c>
    </row>
    <row r="21" ht="20.05" customHeight="1">
      <c r="B21" s="40"/>
      <c r="C21" s="41"/>
      <c r="D21" s="45">
        <f>'Model'!F44</f>
        <v>667.117089291585</v>
      </c>
      <c r="E21" s="44"/>
    </row>
  </sheetData>
  <mergeCells count="1">
    <mergeCell ref="B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