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<sst xmlns="http://schemas.openxmlformats.org/spreadsheetml/2006/main" uniqueCount="62">
  <si>
    <t>Financial model</t>
  </si>
  <si>
    <t>Rpbn</t>
  </si>
  <si>
    <t>4Q 2022</t>
  </si>
  <si>
    <t>Cashflow</t>
  </si>
  <si>
    <t xml:space="preserve">Growth </t>
  </si>
  <si>
    <t xml:space="preserve">Sales </t>
  </si>
  <si>
    <t>Cost ratio</t>
  </si>
  <si>
    <t xml:space="preserve">Cash costs </t>
  </si>
  <si>
    <t xml:space="preserve">Operating </t>
  </si>
  <si>
    <t xml:space="preserve">Investment </t>
  </si>
  <si>
    <t xml:space="preserve">Finance </t>
  </si>
  <si>
    <t xml:space="preserve">Liabilities </t>
  </si>
  <si>
    <t xml:space="preserve">Revolver </t>
  </si>
  <si>
    <t>Payout</t>
  </si>
  <si>
    <t>Equity</t>
  </si>
  <si>
    <t xml:space="preserve">Before revolver </t>
  </si>
  <si>
    <t>Beginning</t>
  </si>
  <si>
    <t xml:space="preserve">Change </t>
  </si>
  <si>
    <t>Ending</t>
  </si>
  <si>
    <t xml:space="preserve">Profit 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</si>
  <si>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</si>
  <si>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</si>
  <si>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</si>
  <si>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</si>
  <si>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</si>
  <si>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</si>
  <si>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</si>
  <si>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</si>
  <si>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</si>
  <si>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</si>
  <si>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</si>
  <si>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</si>
  <si>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</si>
  <si>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</si>
  <si>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</si>
  <si>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</si>
  <si>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</si>
  <si>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</si>
  <si>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</si>
  <si>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</si>
  <si>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</si>
  <si>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</si>
  <si>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</si>
  <si>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</si>
  <si>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 xml:space="preserve">Sales growth </t>
  </si>
  <si>
    <t>Receipts</t>
  </si>
  <si>
    <t>Investment</t>
  </si>
  <si>
    <t>Interest</t>
  </si>
  <si>
    <t>Lease</t>
  </si>
  <si>
    <t>Liabilities</t>
  </si>
  <si>
    <t>Finance</t>
  </si>
  <si>
    <t xml:space="preserve">Free cashflow </t>
  </si>
  <si>
    <t>Assets</t>
  </si>
  <si>
    <t>Cash</t>
  </si>
  <si>
    <t xml:space="preserve">Equity </t>
  </si>
  <si>
    <t xml:space="preserve">Net cash </t>
  </si>
  <si>
    <t>Share price</t>
  </si>
  <si>
    <t>KLBF</t>
  </si>
  <si>
    <t>Target</t>
  </si>
  <si>
    <t>Previous Target</t>
  </si>
  <si>
    <t>Capital</t>
  </si>
  <si>
    <t xml:space="preserve">Total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</si>
</sst>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%_);[Red]\(#,##0%\)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3" applyNumberFormat="0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8049"/>
          <c:y val="0.0446026"/>
          <c:w val="0.802281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'Capital'!$E$3:$E$23</c:f>
              <c:numCache>
                <c:ptCount val="21"/>
                <c:pt idx="0">
                  <c:v>-59.708000</c:v>
                </c:pt>
                <c:pt idx="1">
                  <c:v>-149.881000</c:v>
                </c:pt>
                <c:pt idx="2">
                  <c:v>-126.003000</c:v>
                </c:pt>
                <c:pt idx="3">
                  <c:v>-238.742000</c:v>
                </c:pt>
                <c:pt idx="4">
                  <c:v>-533.356000</c:v>
                </c:pt>
                <c:pt idx="5">
                  <c:v>-1028.114000</c:v>
                </c:pt>
                <c:pt idx="6">
                  <c:v>-1093.755000</c:v>
                </c:pt>
                <c:pt idx="7">
                  <c:v>-1001.434000</c:v>
                </c:pt>
                <c:pt idx="8">
                  <c:v>-1014.903000</c:v>
                </c:pt>
                <c:pt idx="9">
                  <c:v>-1329.448000</c:v>
                </c:pt>
                <c:pt idx="10">
                  <c:v>-1213.682000</c:v>
                </c:pt>
                <c:pt idx="11">
                  <c:v>-1182.258000</c:v>
                </c:pt>
                <c:pt idx="12">
                  <c:v>-872.638000</c:v>
                </c:pt>
                <c:pt idx="13">
                  <c:v>-1165.872000</c:v>
                </c:pt>
                <c:pt idx="14">
                  <c:v>-1067.299000</c:v>
                </c:pt>
                <c:pt idx="15">
                  <c:v>-1149.776000</c:v>
                </c:pt>
                <c:pt idx="16">
                  <c:v>-1076.033000</c:v>
                </c:pt>
                <c:pt idx="17">
                  <c:v>-1032.184000</c:v>
                </c:pt>
                <c:pt idx="18">
                  <c:v>-615.046000</c:v>
                </c:pt>
                <c:pt idx="19">
                  <c:v>-350.593000</c:v>
                </c:pt>
                <c:pt idx="20">
                  <c:v>-857.493000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'Capital'!$F$3:$F$23</c:f>
              <c:numCache>
                <c:ptCount val="21"/>
                <c:pt idx="0">
                  <c:v>-14.154000</c:v>
                </c:pt>
                <c:pt idx="1">
                  <c:v>-20.245000</c:v>
                </c:pt>
                <c:pt idx="2">
                  <c:v>-35.629000</c:v>
                </c:pt>
                <c:pt idx="3">
                  <c:v>-52.018000</c:v>
                </c:pt>
                <c:pt idx="4">
                  <c:v>8.127000</c:v>
                </c:pt>
                <c:pt idx="5">
                  <c:v>41.007000</c:v>
                </c:pt>
                <c:pt idx="6">
                  <c:v>-303.794000</c:v>
                </c:pt>
                <c:pt idx="7">
                  <c:v>-776.931000</c:v>
                </c:pt>
                <c:pt idx="8">
                  <c:v>-1052.704000</c:v>
                </c:pt>
                <c:pt idx="9">
                  <c:v>-1291.918000</c:v>
                </c:pt>
                <c:pt idx="10">
                  <c:v>-1799.658000</c:v>
                </c:pt>
                <c:pt idx="11">
                  <c:v>-2715.700000</c:v>
                </c:pt>
                <c:pt idx="12">
                  <c:v>-3589.889000</c:v>
                </c:pt>
                <c:pt idx="13">
                  <c:v>-4394.533000</c:v>
                </c:pt>
                <c:pt idx="14">
                  <c:v>-5300.709000</c:v>
                </c:pt>
                <c:pt idx="15">
                  <c:v>-6125.043000</c:v>
                </c:pt>
                <c:pt idx="16">
                  <c:v>-7137.883000</c:v>
                </c:pt>
                <c:pt idx="17">
                  <c:v>-8289.783000</c:v>
                </c:pt>
                <c:pt idx="18">
                  <c:v>-9372.659000</c:v>
                </c:pt>
                <c:pt idx="19">
                  <c:v>-10626.956000</c:v>
                </c:pt>
                <c:pt idx="20">
                  <c:v>-10772.256000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'Capital'!$G$3:$G$23</c:f>
              <c:numCache>
                <c:ptCount val="21"/>
                <c:pt idx="0">
                  <c:v>-73.862000</c:v>
                </c:pt>
                <c:pt idx="1">
                  <c:v>-170.126000</c:v>
                </c:pt>
                <c:pt idx="2">
                  <c:v>-161.632000</c:v>
                </c:pt>
                <c:pt idx="3">
                  <c:v>-290.760000</c:v>
                </c:pt>
                <c:pt idx="4">
                  <c:v>-525.229000</c:v>
                </c:pt>
                <c:pt idx="5">
                  <c:v>-987.107000</c:v>
                </c:pt>
                <c:pt idx="6">
                  <c:v>-1397.549000</c:v>
                </c:pt>
                <c:pt idx="7">
                  <c:v>-1778.365000</c:v>
                </c:pt>
                <c:pt idx="8">
                  <c:v>-2067.607000</c:v>
                </c:pt>
                <c:pt idx="9">
                  <c:v>-2621.366000</c:v>
                </c:pt>
                <c:pt idx="10">
                  <c:v>-3013.340000</c:v>
                </c:pt>
                <c:pt idx="11">
                  <c:v>-3897.958000</c:v>
                </c:pt>
                <c:pt idx="12">
                  <c:v>-4462.527000</c:v>
                </c:pt>
                <c:pt idx="13">
                  <c:v>-5560.405000</c:v>
                </c:pt>
                <c:pt idx="14">
                  <c:v>-6368.008000</c:v>
                </c:pt>
                <c:pt idx="15">
                  <c:v>-7274.819000</c:v>
                </c:pt>
                <c:pt idx="16">
                  <c:v>-8213.916000</c:v>
                </c:pt>
                <c:pt idx="17">
                  <c:v>-9321.967000</c:v>
                </c:pt>
                <c:pt idx="18">
                  <c:v>-9987.705000</c:v>
                </c:pt>
                <c:pt idx="19">
                  <c:v>-10977.549000</c:v>
                </c:pt>
                <c:pt idx="20">
                  <c:v>-11629.749000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750"/>
        <c:minorUnit val="18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18728"/>
          <c:y val="0.057415"/>
          <c:w val="0.362544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605581</xdr:colOff>
      <xdr:row>2</xdr:row>
      <xdr:rowOff>99858</xdr:rowOff>
    </xdr:from>
    <xdr:to>
      <xdr:col>13</xdr:col>
      <xdr:colOff>174759</xdr:colOff>
      <xdr:row>47</xdr:row>
      <xdr:rowOff>245467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18881" y="1011083"/>
          <a:ext cx="8281379" cy="116092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506500</xdr:colOff>
      <xdr:row>28</xdr:row>
      <xdr:rowOff>228366</xdr:rowOff>
    </xdr:from>
    <xdr:to>
      <xdr:col>4</xdr:col>
      <xdr:colOff>721320</xdr:colOff>
      <xdr:row>42</xdr:row>
      <xdr:rowOff>27262</xdr:rowOff>
    </xdr:to>
    <xdr:graphicFrame>
      <xdr:nvGraphicFramePr>
        <xdr:cNvPr id="4" name="2D Line Chart"/>
        <xdr:cNvGraphicFramePr/>
      </xdr:nvGraphicFramePr>
      <xdr:xfrm>
        <a:off x="506500" y="7450221"/>
        <a:ext cx="3720021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412376</xdr:colOff>
      <xdr:row>25</xdr:row>
      <xdr:rowOff>78999</xdr:rowOff>
    </xdr:from>
    <xdr:to>
      <xdr:col>5</xdr:col>
      <xdr:colOff>379517</xdr:colOff>
      <xdr:row>29</xdr:row>
      <xdr:rowOff>50630</xdr:rowOff>
    </xdr:to>
    <xdr:sp>
      <xdr:nvSpPr>
        <xdr:cNvPr id="5" name="KLBF HAS PAID ALMOST 12 TRILLION RUPIAH"/>
        <xdr:cNvSpPr txBox="1"/>
      </xdr:nvSpPr>
      <xdr:spPr>
        <a:xfrm>
          <a:off x="412376" y="6542664"/>
          <a:ext cx="4348642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KLBF HAS PAID ALMOST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12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5312" style="1" customWidth="1"/>
    <col min="2" max="2" width="14.9297" style="1" customWidth="1"/>
    <col min="3" max="6" width="9.17188" style="1" customWidth="1"/>
    <col min="7" max="16384" width="16.3516" style="1" customWidth="1"/>
  </cols>
  <sheetData>
    <row r="1" ht="44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0.0398084997760553</v>
      </c>
      <c r="D4" s="8"/>
      <c r="E4" s="8"/>
      <c r="F4" s="9">
        <f>AVERAGE(C5:F5)</f>
        <v>0.025</v>
      </c>
    </row>
    <row r="5" ht="20.05" customHeight="1">
      <c r="B5" t="s" s="10">
        <v>4</v>
      </c>
      <c r="C5" s="11">
        <v>0.04</v>
      </c>
      <c r="D5" s="12">
        <v>0.04</v>
      </c>
      <c r="E5" s="12">
        <v>0.04</v>
      </c>
      <c r="F5" s="12">
        <v>-0.02</v>
      </c>
    </row>
    <row r="6" ht="20.05" customHeight="1">
      <c r="B6" t="s" s="10">
        <v>5</v>
      </c>
      <c r="C6" s="13">
        <f>'Sales'!C32*(1+C5)</f>
        <v>7296.328</v>
      </c>
      <c r="D6" s="14">
        <f>C6*(1+D5)</f>
        <v>7588.18112</v>
      </c>
      <c r="E6" s="14">
        <f>D6*(1+E5)</f>
        <v>7891.7083648</v>
      </c>
      <c r="F6" s="14">
        <f>E6*(1+F5)</f>
        <v>7733.874197504</v>
      </c>
    </row>
    <row r="7" ht="20.05" customHeight="1">
      <c r="B7" t="s" s="10">
        <v>6</v>
      </c>
      <c r="C7" s="11">
        <f>AVERAGE('Sales'!I32)</f>
        <v>-0.85347004498909</v>
      </c>
      <c r="D7" s="12">
        <f>C7</f>
        <v>-0.85347004498909</v>
      </c>
      <c r="E7" s="12">
        <f>D7</f>
        <v>-0.85347004498909</v>
      </c>
      <c r="F7" s="12">
        <f>E7</f>
        <v>-0.85347004498909</v>
      </c>
    </row>
    <row r="8" ht="20.05" customHeight="1">
      <c r="B8" t="s" s="10">
        <v>7</v>
      </c>
      <c r="C8" s="15">
        <f>C6*C7</f>
        <v>-6227.197386415160</v>
      </c>
      <c r="D8" s="16">
        <f>D6*D7</f>
        <v>-6476.285281871760</v>
      </c>
      <c r="E8" s="16">
        <f>E6*E7</f>
        <v>-6735.336693146630</v>
      </c>
      <c r="F8" s="16">
        <f>F6*F7</f>
        <v>-6600.6299592837</v>
      </c>
    </row>
    <row r="9" ht="20.05" customHeight="1">
      <c r="B9" t="s" s="10">
        <v>8</v>
      </c>
      <c r="C9" s="15">
        <f>C6+C8</f>
        <v>1069.130613584840</v>
      </c>
      <c r="D9" s="16">
        <f>D6+D8</f>
        <v>1111.895838128240</v>
      </c>
      <c r="E9" s="16">
        <f>E6+E8</f>
        <v>1156.371671653370</v>
      </c>
      <c r="F9" s="16">
        <f>F6+F8</f>
        <v>1133.2442382203</v>
      </c>
    </row>
    <row r="10" ht="20.05" customHeight="1">
      <c r="B10" t="s" s="10">
        <v>9</v>
      </c>
      <c r="C10" s="15">
        <f>AVERAGE('Cashflow '!E32)</f>
        <v>-135.9</v>
      </c>
      <c r="D10" s="16">
        <f>C10</f>
        <v>-135.9</v>
      </c>
      <c r="E10" s="16">
        <f>D10</f>
        <v>-135.9</v>
      </c>
      <c r="F10" s="16">
        <f>E10</f>
        <v>-135.9</v>
      </c>
    </row>
    <row r="11" ht="20.05" customHeight="1">
      <c r="B11" t="s" s="10">
        <v>10</v>
      </c>
      <c r="C11" s="15">
        <f>C12+C15+C13</f>
        <v>-1153.930613584840</v>
      </c>
      <c r="D11" s="16">
        <f>D12+D15+D13</f>
        <v>-1184.405838128240</v>
      </c>
      <c r="E11" s="16">
        <f>E12+E15+E13</f>
        <v>-1217.206171653370</v>
      </c>
      <c r="F11" s="16">
        <f>F12+F15+F13</f>
        <v>-1182.9870132203</v>
      </c>
    </row>
    <row r="12" ht="20.05" customHeight="1">
      <c r="B12" t="s" s="10">
        <v>11</v>
      </c>
      <c r="C12" s="15">
        <f>-'Balance sheet'!G32/20</f>
        <v>-245.8</v>
      </c>
      <c r="D12" s="16">
        <f>-C27/20</f>
        <v>-233.51</v>
      </c>
      <c r="E12" s="16">
        <f>-D27/20</f>
        <v>-221.8345</v>
      </c>
      <c r="F12" s="16">
        <f>-E27/20</f>
        <v>-210.742775</v>
      </c>
    </row>
    <row r="13" ht="20.05" customHeight="1">
      <c r="B13" t="s" s="10">
        <v>12</v>
      </c>
      <c r="C13" s="15">
        <f>-MIN(0,C16)</f>
        <v>0</v>
      </c>
      <c r="D13" s="16">
        <f>-MIN(C28,D16)</f>
        <v>0</v>
      </c>
      <c r="E13" s="16">
        <f>-MIN(D28,E16)</f>
        <v>0</v>
      </c>
      <c r="F13" s="16">
        <f>-MIN(E28,F16)</f>
        <v>0</v>
      </c>
    </row>
    <row r="14" ht="20.05" customHeight="1">
      <c r="B14" t="s" s="10">
        <v>13</v>
      </c>
      <c r="C14" s="17">
        <v>1</v>
      </c>
      <c r="D14" s="16"/>
      <c r="E14" s="16"/>
      <c r="F14" s="16"/>
    </row>
    <row r="15" ht="20.05" customHeight="1">
      <c r="B15" t="s" s="10">
        <v>14</v>
      </c>
      <c r="C15" s="15">
        <f>IF(C22&gt;0,-C22*$C$14,0)</f>
        <v>-908.130613584840</v>
      </c>
      <c r="D15" s="16">
        <f>IF(D22&gt;0,-D22*$C$14,0)</f>
        <v>-950.895838128240</v>
      </c>
      <c r="E15" s="16">
        <f>IF(E22&gt;0,-E22*$C$14,0)</f>
        <v>-995.371671653370</v>
      </c>
      <c r="F15" s="16">
        <f>IF(F22&gt;0,-F22*$C$14,0)</f>
        <v>-972.2442382203</v>
      </c>
    </row>
    <row r="16" ht="20.05" customHeight="1">
      <c r="B16" t="s" s="10">
        <v>15</v>
      </c>
      <c r="C16" s="15">
        <f>C17+C9+C10+C12+C15</f>
        <v>6146.3</v>
      </c>
      <c r="D16" s="16">
        <f>D17+D9+D10+D12+D15</f>
        <v>5937.89</v>
      </c>
      <c r="E16" s="16">
        <f>E17+E9+E10+E12+E15</f>
        <v>5741.1555</v>
      </c>
      <c r="F16" s="16">
        <f>F17+F9+F10+F12+F15</f>
        <v>5555.512725</v>
      </c>
    </row>
    <row r="17" ht="20.05" customHeight="1">
      <c r="B17" t="s" s="10">
        <v>16</v>
      </c>
      <c r="C17" s="15">
        <f>'Balance sheet'!C32</f>
        <v>6367</v>
      </c>
      <c r="D17" s="16">
        <f>C19</f>
        <v>6146.3</v>
      </c>
      <c r="E17" s="16">
        <f>D19</f>
        <v>5937.89</v>
      </c>
      <c r="F17" s="16">
        <f>E19</f>
        <v>5741.1555</v>
      </c>
    </row>
    <row r="18" ht="20.05" customHeight="1">
      <c r="B18" t="s" s="10">
        <v>17</v>
      </c>
      <c r="C18" s="15">
        <f>C9+C10+C11</f>
        <v>-220.7</v>
      </c>
      <c r="D18" s="16">
        <f>D9+D10+D11</f>
        <v>-208.41</v>
      </c>
      <c r="E18" s="16">
        <f>E9+E10+E11</f>
        <v>-196.7345</v>
      </c>
      <c r="F18" s="16">
        <f>F9+F10+F11</f>
        <v>-185.642775</v>
      </c>
    </row>
    <row r="19" ht="20.05" customHeight="1">
      <c r="B19" t="s" s="10">
        <v>18</v>
      </c>
      <c r="C19" s="15">
        <f>C17+C18</f>
        <v>6146.3</v>
      </c>
      <c r="D19" s="16">
        <f>D17+D18</f>
        <v>5937.89</v>
      </c>
      <c r="E19" s="16">
        <f>E17+E18</f>
        <v>5741.1555</v>
      </c>
      <c r="F19" s="16">
        <f>F17+F18</f>
        <v>5555.512725</v>
      </c>
    </row>
    <row r="20" ht="20.05" customHeight="1">
      <c r="B20" t="s" s="18">
        <v>19</v>
      </c>
      <c r="C20" s="19"/>
      <c r="D20" s="20"/>
      <c r="E20" s="20"/>
      <c r="F20" s="21"/>
    </row>
    <row r="21" ht="20.05" customHeight="1">
      <c r="B21" t="s" s="10">
        <v>20</v>
      </c>
      <c r="C21" s="15">
        <f>-AVERAGE('Sales'!E32)</f>
        <v>-161</v>
      </c>
      <c r="D21" s="16">
        <f>C21</f>
        <v>-161</v>
      </c>
      <c r="E21" s="16">
        <f>D21</f>
        <v>-161</v>
      </c>
      <c r="F21" s="16">
        <f>E21</f>
        <v>-161</v>
      </c>
    </row>
    <row r="22" ht="20.05" customHeight="1">
      <c r="B22" t="s" s="10">
        <v>21</v>
      </c>
      <c r="C22" s="15">
        <f>C6+C8+C21</f>
        <v>908.130613584840</v>
      </c>
      <c r="D22" s="16">
        <f>D6+D8+D21</f>
        <v>950.895838128240</v>
      </c>
      <c r="E22" s="16">
        <f>E6+E8+E21</f>
        <v>995.371671653370</v>
      </c>
      <c r="F22" s="16">
        <f>F6+F8+F21</f>
        <v>972.2442382203</v>
      </c>
    </row>
    <row r="23" ht="20.05" customHeight="1">
      <c r="B23" t="s" s="18">
        <v>22</v>
      </c>
      <c r="C23" s="19"/>
      <c r="D23" s="20"/>
      <c r="E23" s="20"/>
      <c r="F23" s="16"/>
    </row>
    <row r="24" ht="20.05" customHeight="1">
      <c r="B24" t="s" s="10">
        <v>23</v>
      </c>
      <c r="C24" s="15">
        <f>'Balance sheet'!E32+'Balance sheet'!F32-C10</f>
        <v>25653.9</v>
      </c>
      <c r="D24" s="16">
        <f>C24-D10</f>
        <v>25789.8</v>
      </c>
      <c r="E24" s="16">
        <f>D24-E10</f>
        <v>25925.7</v>
      </c>
      <c r="F24" s="16">
        <f>E24-F10</f>
        <v>26061.6</v>
      </c>
    </row>
    <row r="25" ht="20.05" customHeight="1">
      <c r="B25" t="s" s="10">
        <v>24</v>
      </c>
      <c r="C25" s="15">
        <f>'Balance sheet'!F32-C21</f>
        <v>5184</v>
      </c>
      <c r="D25" s="16">
        <f>C25-D21</f>
        <v>5345</v>
      </c>
      <c r="E25" s="16">
        <f>D25-E21</f>
        <v>5506</v>
      </c>
      <c r="F25" s="16">
        <f>E25-F21</f>
        <v>5667</v>
      </c>
    </row>
    <row r="26" ht="20.05" customHeight="1">
      <c r="B26" t="s" s="10">
        <v>25</v>
      </c>
      <c r="C26" s="15">
        <f>C24-C25</f>
        <v>20469.9</v>
      </c>
      <c r="D26" s="16">
        <f>D24-D25</f>
        <v>20444.8</v>
      </c>
      <c r="E26" s="16">
        <f>E24-E25</f>
        <v>20419.7</v>
      </c>
      <c r="F26" s="16">
        <f>F24-F25</f>
        <v>20394.6</v>
      </c>
    </row>
    <row r="27" ht="20.05" customHeight="1">
      <c r="B27" t="s" s="10">
        <v>11</v>
      </c>
      <c r="C27" s="15">
        <f>'Balance sheet'!G32+C12</f>
        <v>4670.2</v>
      </c>
      <c r="D27" s="16">
        <f>C27+D12</f>
        <v>4436.69</v>
      </c>
      <c r="E27" s="16">
        <f>D27+E12</f>
        <v>4214.8555</v>
      </c>
      <c r="F27" s="16">
        <f>E27+F12</f>
        <v>4004.112725</v>
      </c>
    </row>
    <row r="28" ht="20.05" customHeight="1">
      <c r="B28" t="s" s="10">
        <v>12</v>
      </c>
      <c r="C28" s="15">
        <f>C13</f>
        <v>0</v>
      </c>
      <c r="D28" s="16">
        <f>C28+D13</f>
        <v>0</v>
      </c>
      <c r="E28" s="16">
        <f>D28+E13</f>
        <v>0</v>
      </c>
      <c r="F28" s="16">
        <f>E28+F13</f>
        <v>0</v>
      </c>
    </row>
    <row r="29" ht="20.05" customHeight="1">
      <c r="B29" t="s" s="10">
        <v>14</v>
      </c>
      <c r="C29" s="15">
        <f>'Balance sheet'!H32+C22+C15</f>
        <v>21946</v>
      </c>
      <c r="D29" s="16">
        <f>C29+D22+D15</f>
        <v>21946</v>
      </c>
      <c r="E29" s="16">
        <f>D29+E22+E15</f>
        <v>21946</v>
      </c>
      <c r="F29" s="16">
        <f>E29+F22+F15</f>
        <v>21946</v>
      </c>
    </row>
    <row r="30" ht="20.05" customHeight="1">
      <c r="B30" t="s" s="10">
        <v>26</v>
      </c>
      <c r="C30" s="15">
        <f>C27+C28+C29-C19-C26</f>
        <v>0</v>
      </c>
      <c r="D30" s="16">
        <f>D27+D28+D29-D19-D26</f>
        <v>0</v>
      </c>
      <c r="E30" s="16">
        <f>E27+E28+E29-E19-E26</f>
        <v>0</v>
      </c>
      <c r="F30" s="16">
        <f>F27+F28+F29-F19-F26</f>
        <v>0</v>
      </c>
    </row>
    <row r="31" ht="20.05" customHeight="1">
      <c r="B31" t="s" s="10">
        <v>27</v>
      </c>
      <c r="C31" s="15">
        <f>C19-C27-C28</f>
        <v>1476.1</v>
      </c>
      <c r="D31" s="16">
        <f>D19-D27-D28</f>
        <v>1501.2</v>
      </c>
      <c r="E31" s="16">
        <f>E19-E27-E28</f>
        <v>1526.3</v>
      </c>
      <c r="F31" s="16">
        <f>F19-F27-F28</f>
        <v>1551.4</v>
      </c>
    </row>
    <row r="32" ht="20.05" customHeight="1">
      <c r="B32" t="s" s="18">
        <v>28</v>
      </c>
      <c r="C32" s="15"/>
      <c r="D32" s="16"/>
      <c r="E32" s="16"/>
      <c r="F32" s="16"/>
    </row>
    <row r="33" ht="20.05" customHeight="1">
      <c r="B33" t="s" s="10">
        <v>29</v>
      </c>
      <c r="C33" s="15">
        <f>'Cashflow '!N32-C11</f>
        <v>7329.830613584840</v>
      </c>
      <c r="D33" s="16">
        <f>C33-D11</f>
        <v>8514.236451713081</v>
      </c>
      <c r="E33" s="16">
        <f>D33-E11</f>
        <v>9731.442623366451</v>
      </c>
      <c r="F33" s="16">
        <f>E33-F11</f>
        <v>10914.4296365868</v>
      </c>
    </row>
    <row r="34" ht="20.05" customHeight="1">
      <c r="B34" t="s" s="10">
        <v>30</v>
      </c>
      <c r="C34" s="15"/>
      <c r="D34" s="16"/>
      <c r="E34" s="16"/>
      <c r="F34" s="16">
        <v>75699732828160</v>
      </c>
    </row>
    <row r="35" ht="20.05" customHeight="1">
      <c r="B35" t="s" s="10">
        <v>30</v>
      </c>
      <c r="C35" s="15"/>
      <c r="D35" s="16"/>
      <c r="E35" s="16"/>
      <c r="F35" s="16">
        <f>F34/1000000000</f>
        <v>75699.732828160006</v>
      </c>
    </row>
    <row r="36" ht="20.05" customHeight="1">
      <c r="B36" t="s" s="10">
        <v>31</v>
      </c>
      <c r="C36" s="15"/>
      <c r="D36" s="16"/>
      <c r="E36" s="16"/>
      <c r="F36" s="16">
        <f>F35/(F19+F26)</f>
        <v>2.91712539480539</v>
      </c>
    </row>
    <row r="37" ht="20.05" customHeight="1">
      <c r="B37" t="s" s="10">
        <v>32</v>
      </c>
      <c r="C37" s="15"/>
      <c r="D37" s="16"/>
      <c r="E37" s="16"/>
      <c r="F37" s="12">
        <f>-(C15+D15+E15+F15)/F35</f>
        <v>0.0505502756564981</v>
      </c>
    </row>
    <row r="38" ht="20.05" customHeight="1">
      <c r="B38" t="s" s="10">
        <v>33</v>
      </c>
      <c r="C38" s="15"/>
      <c r="D38" s="16"/>
      <c r="E38" s="16"/>
      <c r="F38" s="16">
        <f>SUM(C9:F10)</f>
        <v>3927.042361586750</v>
      </c>
    </row>
    <row r="39" ht="20.05" customHeight="1">
      <c r="B39" t="s" s="10">
        <v>34</v>
      </c>
      <c r="C39" s="15"/>
      <c r="D39" s="16"/>
      <c r="E39" s="16"/>
      <c r="F39" s="16">
        <f>'Balance sheet'!E32/F38</f>
        <v>5.21894039149576</v>
      </c>
    </row>
    <row r="40" ht="20.05" customHeight="1">
      <c r="B40" t="s" s="10">
        <v>28</v>
      </c>
      <c r="C40" s="15"/>
      <c r="D40" s="16"/>
      <c r="E40" s="16"/>
      <c r="F40" s="16">
        <f>F35/F38</f>
        <v>19.2765256541753</v>
      </c>
    </row>
    <row r="41" ht="20.05" customHeight="1">
      <c r="B41" t="s" s="10">
        <v>35</v>
      </c>
      <c r="C41" s="15"/>
      <c r="D41" s="16"/>
      <c r="E41" s="16"/>
      <c r="F41" s="16">
        <v>26</v>
      </c>
    </row>
    <row r="42" ht="20.05" customHeight="1">
      <c r="B42" t="s" s="10">
        <v>36</v>
      </c>
      <c r="C42" s="15"/>
      <c r="D42" s="16"/>
      <c r="E42" s="16"/>
      <c r="F42" s="16">
        <f>F38*F41</f>
        <v>102103.101401256</v>
      </c>
    </row>
    <row r="43" ht="20.05" customHeight="1">
      <c r="B43" t="s" s="10">
        <v>37</v>
      </c>
      <c r="C43" s="15"/>
      <c r="D43" s="16"/>
      <c r="E43" s="16"/>
      <c r="F43" s="16">
        <f>F35/F45</f>
        <v>46.872899584</v>
      </c>
    </row>
    <row r="44" ht="20.05" customHeight="1">
      <c r="B44" t="s" s="10">
        <v>38</v>
      </c>
      <c r="C44" s="15"/>
      <c r="D44" s="16"/>
      <c r="E44" s="16"/>
      <c r="F44" s="16">
        <f>F42/F43</f>
        <v>2178.297103602030</v>
      </c>
    </row>
    <row r="45" ht="20.05" customHeight="1">
      <c r="B45" t="s" s="10">
        <v>39</v>
      </c>
      <c r="C45" s="15"/>
      <c r="D45" s="16"/>
      <c r="E45" s="16"/>
      <c r="F45" s="16">
        <v>1615</v>
      </c>
    </row>
    <row r="46" ht="20.05" customHeight="1">
      <c r="B46" t="s" s="10">
        <v>40</v>
      </c>
      <c r="C46" s="15"/>
      <c r="D46" s="16"/>
      <c r="E46" s="16"/>
      <c r="F46" s="12">
        <f>F44/F45-1</f>
        <v>0.348790776224167</v>
      </c>
    </row>
    <row r="47" ht="20.05" customHeight="1">
      <c r="B47" t="s" s="10">
        <v>41</v>
      </c>
      <c r="C47" s="15"/>
      <c r="D47" s="16"/>
      <c r="E47" s="16"/>
      <c r="F47" s="12">
        <f>'Sales'!C32/'Sales'!C28-1</f>
        <v>0.166289856036174</v>
      </c>
    </row>
    <row r="48" ht="20.05" customHeight="1">
      <c r="B48" t="s" s="10">
        <v>42</v>
      </c>
      <c r="C48" s="15"/>
      <c r="D48" s="16"/>
      <c r="E48" s="16"/>
      <c r="F48" s="12">
        <f>'Sales'!F35/'Sales'!E35-1</f>
        <v>-0.0017072383776504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04688" style="22" customWidth="1"/>
    <col min="2" max="2" width="6.85156" style="22" customWidth="1"/>
    <col min="3" max="10" width="11.7031" style="22" customWidth="1"/>
    <col min="11" max="16384" width="16.3516" style="22" customWidth="1"/>
  </cols>
  <sheetData>
    <row r="1" ht="22.15" customHeight="1"/>
    <row r="2" ht="27.65" customHeight="1">
      <c r="B2" t="s" s="2">
        <v>43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43</v>
      </c>
      <c r="D3" t="s" s="5">
        <v>35</v>
      </c>
      <c r="E3" t="s" s="5">
        <v>24</v>
      </c>
      <c r="F3" t="s" s="5">
        <v>21</v>
      </c>
      <c r="G3" t="s" s="5">
        <v>44</v>
      </c>
      <c r="H3" t="s" s="5">
        <v>6</v>
      </c>
      <c r="I3" t="s" s="5">
        <v>6</v>
      </c>
      <c r="J3" t="s" s="5">
        <v>35</v>
      </c>
    </row>
    <row r="4" ht="20.25" customHeight="1">
      <c r="B4" s="23">
        <v>2015</v>
      </c>
      <c r="C4" s="24">
        <v>4247</v>
      </c>
      <c r="D4" s="8"/>
      <c r="E4" s="25">
        <v>83</v>
      </c>
      <c r="F4" s="25">
        <v>537</v>
      </c>
      <c r="G4" s="26"/>
      <c r="H4" s="9">
        <f>(E4+F4-C4)/C4</f>
        <v>-0.8540145985401461</v>
      </c>
      <c r="I4" s="9"/>
      <c r="J4" s="9"/>
    </row>
    <row r="5" ht="20.05" customHeight="1">
      <c r="B5" s="27"/>
      <c r="C5" s="13">
        <v>4473</v>
      </c>
      <c r="D5" s="21"/>
      <c r="E5" s="14">
        <v>84</v>
      </c>
      <c r="F5" s="14">
        <v>547</v>
      </c>
      <c r="G5" s="12">
        <f>C5/C4-1</f>
        <v>0.0532140334353661</v>
      </c>
      <c r="H5" s="12">
        <f>(E5+F5-C5)/C5</f>
        <v>-0.858931365973619</v>
      </c>
      <c r="I5" s="12"/>
      <c r="J5" s="12"/>
    </row>
    <row r="6" ht="20.05" customHeight="1">
      <c r="B6" s="27"/>
      <c r="C6" s="13">
        <v>4408</v>
      </c>
      <c r="D6" s="21"/>
      <c r="E6" s="14">
        <v>88</v>
      </c>
      <c r="F6" s="14">
        <v>450</v>
      </c>
      <c r="G6" s="12">
        <f>C6/C5-1</f>
        <v>-0.0145316342499441</v>
      </c>
      <c r="H6" s="12">
        <f>(E6+F6-C6)/C6</f>
        <v>-0.877949183303085</v>
      </c>
      <c r="I6" s="12"/>
      <c r="J6" s="12"/>
    </row>
    <row r="7" ht="20.05" customHeight="1">
      <c r="B7" s="27"/>
      <c r="C7" s="13">
        <v>4759</v>
      </c>
      <c r="D7" s="21"/>
      <c r="E7" s="14">
        <v>96</v>
      </c>
      <c r="F7" s="14">
        <v>524</v>
      </c>
      <c r="G7" s="12">
        <f>C7/C6-1</f>
        <v>0.0796279491833031</v>
      </c>
      <c r="H7" s="12">
        <f>(E7+F7-C7)/C7</f>
        <v>-0.869720529523009</v>
      </c>
      <c r="I7" s="12"/>
      <c r="J7" s="12"/>
    </row>
    <row r="8" ht="20.05" customHeight="1">
      <c r="B8" s="28">
        <v>2016</v>
      </c>
      <c r="C8" s="13">
        <v>4550</v>
      </c>
      <c r="D8" s="21"/>
      <c r="E8" s="14">
        <v>95</v>
      </c>
      <c r="F8" s="14">
        <v>576</v>
      </c>
      <c r="G8" s="12">
        <f>C8/C7-1</f>
        <v>-0.0439167892414373</v>
      </c>
      <c r="H8" s="12">
        <f>(E8+F8-C8)/C8</f>
        <v>-0.852527472527473</v>
      </c>
      <c r="I8" s="21"/>
      <c r="J8" s="21"/>
    </row>
    <row r="9" ht="20.05" customHeight="1">
      <c r="B9" s="27"/>
      <c r="C9" s="13">
        <v>5006</v>
      </c>
      <c r="D9" s="21"/>
      <c r="E9" s="14">
        <v>97</v>
      </c>
      <c r="F9" s="14">
        <v>597</v>
      </c>
      <c r="G9" s="12">
        <f>C9/C8-1</f>
        <v>0.10021978021978</v>
      </c>
      <c r="H9" s="12">
        <f>(E9+F9-C9)/C9</f>
        <v>-0.861366360367559</v>
      </c>
      <c r="I9" s="21"/>
      <c r="J9" s="21"/>
    </row>
    <row r="10" ht="20.05" customHeight="1">
      <c r="B10" s="27"/>
      <c r="C10" s="13">
        <v>4820</v>
      </c>
      <c r="D10" s="21"/>
      <c r="E10" s="14">
        <v>101</v>
      </c>
      <c r="F10" s="14">
        <v>564</v>
      </c>
      <c r="G10" s="12">
        <f>C10/C9-1</f>
        <v>-0.0371554135037954</v>
      </c>
      <c r="H10" s="12">
        <f>(E10+F10-C10)/C10</f>
        <v>-0.862033195020747</v>
      </c>
      <c r="I10" s="21"/>
      <c r="J10" s="21"/>
    </row>
    <row r="11" ht="20.05" customHeight="1">
      <c r="B11" s="27"/>
      <c r="C11" s="13">
        <v>4998</v>
      </c>
      <c r="D11" s="21"/>
      <c r="E11" s="14">
        <v>104</v>
      </c>
      <c r="F11" s="14">
        <v>614</v>
      </c>
      <c r="G11" s="12">
        <f>C11/C10-1</f>
        <v>0.0369294605809129</v>
      </c>
      <c r="H11" s="12">
        <f>(E11+F11-C11)/C11</f>
        <v>-0.856342537014806</v>
      </c>
      <c r="I11" s="21"/>
      <c r="J11" s="21"/>
    </row>
    <row r="12" ht="20.05" customHeight="1">
      <c r="B12" s="28">
        <v>2017</v>
      </c>
      <c r="C12" s="13">
        <v>4898</v>
      </c>
      <c r="D12" s="21"/>
      <c r="E12" s="14">
        <v>102</v>
      </c>
      <c r="F12" s="14">
        <v>596</v>
      </c>
      <c r="G12" s="12">
        <f>C12/C11-1</f>
        <v>-0.0200080032012805</v>
      </c>
      <c r="H12" s="12">
        <f>(E12+F12-C12)/C12</f>
        <v>-0.857492854226215</v>
      </c>
      <c r="I12" s="12">
        <f>AVERAGE(H9:H12)</f>
        <v>-0.859308736657332</v>
      </c>
      <c r="J12" s="12"/>
    </row>
    <row r="13" ht="20.05" customHeight="1">
      <c r="B13" s="27"/>
      <c r="C13" s="13">
        <v>5168</v>
      </c>
      <c r="D13" s="21"/>
      <c r="E13" s="14">
        <v>98</v>
      </c>
      <c r="F13" s="14">
        <v>642</v>
      </c>
      <c r="G13" s="12">
        <f>C13/C12-1</f>
        <v>0.0551245406288281</v>
      </c>
      <c r="H13" s="12">
        <f>(E13+F13-C13)/C13</f>
        <v>-0.856811145510836</v>
      </c>
      <c r="I13" s="12">
        <f>AVERAGE(H10:H13)</f>
        <v>-0.858169932943151</v>
      </c>
      <c r="J13" s="12"/>
    </row>
    <row r="14" ht="20.05" customHeight="1">
      <c r="B14" s="27"/>
      <c r="C14" s="13">
        <v>5024</v>
      </c>
      <c r="D14" s="21"/>
      <c r="E14" s="14">
        <v>99</v>
      </c>
      <c r="F14" s="14">
        <v>574</v>
      </c>
      <c r="G14" s="12">
        <f>C14/C13-1</f>
        <v>-0.0278637770897833</v>
      </c>
      <c r="H14" s="12">
        <f>(E14+F14-C14)/C14</f>
        <v>-0.866042993630573</v>
      </c>
      <c r="I14" s="12">
        <f>AVERAGE(H11:H14)</f>
        <v>-0.859172382595608</v>
      </c>
      <c r="J14" s="12"/>
    </row>
    <row r="15" ht="20.05" customHeight="1">
      <c r="B15" s="27"/>
      <c r="C15" s="13">
        <v>5092</v>
      </c>
      <c r="D15" s="21"/>
      <c r="E15" s="14">
        <v>104</v>
      </c>
      <c r="F15" s="14">
        <v>641</v>
      </c>
      <c r="G15" s="12">
        <f>C15/C14-1</f>
        <v>0.0135350318471338</v>
      </c>
      <c r="H15" s="12">
        <f>(E15+F15-C15)/C15</f>
        <v>-0.85369206598586</v>
      </c>
      <c r="I15" s="12">
        <f>AVERAGE(H12:H15)</f>
        <v>-0.858509764838371</v>
      </c>
      <c r="J15" s="12"/>
    </row>
    <row r="16" ht="20.05" customHeight="1">
      <c r="B16" s="28">
        <v>2018</v>
      </c>
      <c r="C16" s="13">
        <v>5015</v>
      </c>
      <c r="D16" s="21"/>
      <c r="E16" s="14">
        <v>103</v>
      </c>
      <c r="F16" s="14">
        <v>598</v>
      </c>
      <c r="G16" s="12">
        <f>C16/C15-1</f>
        <v>-0.0151217596229379</v>
      </c>
      <c r="H16" s="12">
        <f>(E16+F16-C16)/C16</f>
        <v>-0.860219341974078</v>
      </c>
      <c r="I16" s="12">
        <f>AVERAGE(H13:H16)</f>
        <v>-0.859191386775337</v>
      </c>
      <c r="J16" s="12"/>
    </row>
    <row r="17" ht="20.05" customHeight="1">
      <c r="B17" s="27"/>
      <c r="C17" s="13">
        <v>5366</v>
      </c>
      <c r="D17" s="21"/>
      <c r="E17" s="14">
        <v>107</v>
      </c>
      <c r="F17" s="14">
        <v>635</v>
      </c>
      <c r="G17" s="12">
        <f>C17/C16-1</f>
        <v>0.0699900299102692</v>
      </c>
      <c r="H17" s="12">
        <f>(E17+F17-C17)/C17</f>
        <v>-0.861721953037644</v>
      </c>
      <c r="I17" s="12">
        <f>AVERAGE(H14:H17)</f>
        <v>-0.860419088657039</v>
      </c>
      <c r="J17" s="12"/>
    </row>
    <row r="18" ht="20.05" customHeight="1">
      <c r="B18" s="27"/>
      <c r="C18" s="13">
        <v>5297</v>
      </c>
      <c r="D18" s="21"/>
      <c r="E18" s="14">
        <v>111</v>
      </c>
      <c r="F18" s="14">
        <v>601</v>
      </c>
      <c r="G18" s="12">
        <f>C18/C17-1</f>
        <v>-0.0128587402161759</v>
      </c>
      <c r="H18" s="12">
        <f>(E18+F18-C18)/C18</f>
        <v>-0.865584292996035</v>
      </c>
      <c r="I18" s="12">
        <f>AVERAGE(H15:H18)</f>
        <v>-0.860304413498404</v>
      </c>
      <c r="J18" s="12"/>
    </row>
    <row r="19" ht="20.05" customHeight="1">
      <c r="B19" s="27"/>
      <c r="C19" s="13">
        <v>5396</v>
      </c>
      <c r="D19" s="21"/>
      <c r="E19" s="14">
        <v>82</v>
      </c>
      <c r="F19" s="14">
        <v>663</v>
      </c>
      <c r="G19" s="12">
        <f>C19/C18-1</f>
        <v>0.018689824428922</v>
      </c>
      <c r="H19" s="12">
        <f>(E19+F19-C19)/C19</f>
        <v>-0.861934766493699</v>
      </c>
      <c r="I19" s="12">
        <f>AVERAGE(H16:H19)</f>
        <v>-0.862365088625364</v>
      </c>
      <c r="J19" s="12"/>
    </row>
    <row r="20" ht="20.05" customHeight="1">
      <c r="B20" s="28">
        <v>2019</v>
      </c>
      <c r="C20" s="13">
        <v>5366</v>
      </c>
      <c r="D20" s="21"/>
      <c r="E20" s="14">
        <v>110</v>
      </c>
      <c r="F20" s="14">
        <v>604</v>
      </c>
      <c r="G20" s="12">
        <f>C20/C19-1</f>
        <v>-0.0055596738324685</v>
      </c>
      <c r="H20" s="12">
        <f>(E20+F20-C20)/C20</f>
        <v>-0.866939992545658</v>
      </c>
      <c r="I20" s="12">
        <f>AVERAGE(H17:H20)</f>
        <v>-0.864045251268259</v>
      </c>
      <c r="J20" s="12"/>
    </row>
    <row r="21" ht="20.05" customHeight="1">
      <c r="B21" s="27"/>
      <c r="C21" s="13">
        <v>5813</v>
      </c>
      <c r="D21" s="21"/>
      <c r="E21" s="14">
        <v>115</v>
      </c>
      <c r="F21" s="14">
        <v>671</v>
      </c>
      <c r="G21" s="12">
        <f>C21/C20-1</f>
        <v>0.0833022735743571</v>
      </c>
      <c r="H21" s="12">
        <f>(E21+F21-C21)/C21</f>
        <v>-0.86478582487528</v>
      </c>
      <c r="I21" s="12">
        <f>AVERAGE(H18:H21)</f>
        <v>-0.864811219227668</v>
      </c>
      <c r="J21" s="12"/>
    </row>
    <row r="22" ht="20.05" customHeight="1">
      <c r="B22" s="27"/>
      <c r="C22" s="13">
        <v>5648</v>
      </c>
      <c r="D22" s="14">
        <v>6038.58</v>
      </c>
      <c r="E22" s="14">
        <v>118</v>
      </c>
      <c r="F22" s="14">
        <v>671</v>
      </c>
      <c r="G22" s="12">
        <f>C22/C21-1</f>
        <v>-0.0283846550834337</v>
      </c>
      <c r="H22" s="12">
        <f>(E22+F22-C22)/C22</f>
        <v>-0.860304532577904</v>
      </c>
      <c r="I22" s="12">
        <f>AVERAGE(H19:H22)</f>
        <v>-0.8634912791231349</v>
      </c>
      <c r="J22" s="12"/>
    </row>
    <row r="23" ht="20.05" customHeight="1">
      <c r="B23" s="27"/>
      <c r="C23" s="13">
        <v>5806.47</v>
      </c>
      <c r="D23" s="14">
        <v>5935.6</v>
      </c>
      <c r="E23" s="14">
        <v>119.7</v>
      </c>
      <c r="F23" s="14">
        <v>592</v>
      </c>
      <c r="G23" s="12">
        <f>C23/C22-1</f>
        <v>0.0280577195467422</v>
      </c>
      <c r="H23" s="12">
        <f>(E23+F23-C23)/C23</f>
        <v>-0.877429832583308</v>
      </c>
      <c r="I23" s="12">
        <f>AVERAGE(H20:H23)</f>
        <v>-0.867365045645538</v>
      </c>
      <c r="J23" s="12"/>
    </row>
    <row r="24" ht="20.05" customHeight="1">
      <c r="B24" s="28">
        <v>2020</v>
      </c>
      <c r="C24" s="13">
        <v>5796</v>
      </c>
      <c r="D24" s="14">
        <v>5526.98</v>
      </c>
      <c r="E24" s="14">
        <f>129+10.5+10.5</f>
        <v>150</v>
      </c>
      <c r="F24" s="14">
        <v>677</v>
      </c>
      <c r="G24" s="12">
        <f>C24/C23-1</f>
        <v>-0.00180316095665697</v>
      </c>
      <c r="H24" s="12">
        <f>(E24+F24-C24)/C24</f>
        <v>-0.857315389924086</v>
      </c>
      <c r="I24" s="12">
        <f>AVERAGE(H21:H24)</f>
        <v>-0.864958894990145</v>
      </c>
      <c r="J24" s="12"/>
    </row>
    <row r="25" ht="20.05" customHeight="1">
      <c r="B25" s="27"/>
      <c r="C25" s="13">
        <v>5809</v>
      </c>
      <c r="D25" s="14">
        <v>5929.26</v>
      </c>
      <c r="E25" s="14">
        <f>20.9+20.4+264.7-E24</f>
        <v>156</v>
      </c>
      <c r="F25" s="14">
        <v>731</v>
      </c>
      <c r="G25" s="12">
        <f>C25/C24-1</f>
        <v>0.00224292615596963</v>
      </c>
      <c r="H25" s="12">
        <f>(E25+F25-C25)/C25</f>
        <v>-0.847305904630745</v>
      </c>
      <c r="I25" s="12">
        <f>AVERAGE(H22:H25)</f>
        <v>-0.860588914929011</v>
      </c>
      <c r="J25" s="12"/>
    </row>
    <row r="26" ht="20.05" customHeight="1">
      <c r="B26" s="27"/>
      <c r="C26" s="13">
        <v>5491</v>
      </c>
      <c r="D26" s="14">
        <v>5873.92</v>
      </c>
      <c r="E26" s="14">
        <f>407.5+31.3+30.1-SUM(E24:E25)</f>
        <v>162.9</v>
      </c>
      <c r="F26" s="14">
        <v>664</v>
      </c>
      <c r="G26" s="12">
        <f>C26/C25-1</f>
        <v>-0.0547426407299019</v>
      </c>
      <c r="H26" s="12">
        <f>(E26+F26-C26)/C26</f>
        <v>-0.84940812238208</v>
      </c>
      <c r="I26" s="12">
        <f>AVERAGE(H23:H26)</f>
        <v>-0.857864812380055</v>
      </c>
      <c r="J26" s="12"/>
    </row>
    <row r="27" ht="20.05" customHeight="1">
      <c r="B27" s="27"/>
      <c r="C27" s="13">
        <f>23112.7-SUM(C24:C26)</f>
        <v>6016.7</v>
      </c>
      <c r="D27" s="14">
        <v>5710.64</v>
      </c>
      <c r="E27" s="14">
        <f>553+44.3+39.8-SUM(E24:E26)</f>
        <v>168.2</v>
      </c>
      <c r="F27" s="14">
        <f>2799.6-SUM(F24:F26)</f>
        <v>727.6</v>
      </c>
      <c r="G27" s="12">
        <f>C27/C26-1</f>
        <v>0.0957384811509743</v>
      </c>
      <c r="H27" s="12">
        <f>(E27+F27-C27)/C27</f>
        <v>-0.851114398258181</v>
      </c>
      <c r="I27" s="12">
        <f>AVERAGE(H24:H27)</f>
        <v>-0.851285953798773</v>
      </c>
      <c r="J27" s="12"/>
    </row>
    <row r="28" ht="20.05" customHeight="1">
      <c r="B28" s="28">
        <v>2021</v>
      </c>
      <c r="C28" s="13">
        <v>6015.4</v>
      </c>
      <c r="D28" s="16">
        <v>6017</v>
      </c>
      <c r="E28" s="16">
        <f>17.7+12+150.2</f>
        <v>179.9</v>
      </c>
      <c r="F28" s="16">
        <v>723.9</v>
      </c>
      <c r="G28" s="12">
        <f>C28/C27-1</f>
        <v>-0.00021606528495687</v>
      </c>
      <c r="H28" s="12">
        <f>(E28+F28-C28)/C28</f>
        <v>-0.849752302423779</v>
      </c>
      <c r="I28" s="12">
        <f>AVERAGE(H25:H28)</f>
        <v>-0.849395181923696</v>
      </c>
      <c r="J28" s="12"/>
    </row>
    <row r="29" ht="20.05" customHeight="1">
      <c r="B29" s="27"/>
      <c r="C29" s="13">
        <f>12370.4-C28</f>
        <v>6355</v>
      </c>
      <c r="D29" s="14">
        <v>6376.324</v>
      </c>
      <c r="E29" s="16">
        <f>25.5+300.5+18.6-E28</f>
        <v>164.7</v>
      </c>
      <c r="F29" s="16">
        <f>1511.7-F28</f>
        <v>787.8</v>
      </c>
      <c r="G29" s="12">
        <f>C29/C28-1</f>
        <v>0.0564550985803105</v>
      </c>
      <c r="H29" s="12">
        <f>(E29+F29-C29)/C29</f>
        <v>-0.850118017309205</v>
      </c>
      <c r="I29" s="12">
        <f>AVERAGE(H26:H29)</f>
        <v>-0.850098210093311</v>
      </c>
      <c r="J29" s="12"/>
    </row>
    <row r="30" ht="20.05" customHeight="1">
      <c r="B30" s="27"/>
      <c r="C30" s="13">
        <f>19098.7-SUM(C28:C29)</f>
        <v>6728.3</v>
      </c>
      <c r="D30" s="14">
        <v>6164.35</v>
      </c>
      <c r="E30" s="14">
        <f>490.3-SUM(E28:E29)</f>
        <v>145.7</v>
      </c>
      <c r="F30" s="16">
        <f>2324.3-SUM(F28:F29)</f>
        <v>812.6</v>
      </c>
      <c r="G30" s="12">
        <f>C30/C29-1</f>
        <v>0.0587411487018096</v>
      </c>
      <c r="H30" s="12">
        <f>(E30+F30-C30)/C30</f>
        <v>-0.857571749178842</v>
      </c>
      <c r="I30" s="12">
        <f>AVERAGE(H27:H30)</f>
        <v>-0.852139116792502</v>
      </c>
      <c r="J30" s="12"/>
    </row>
    <row r="31" ht="20.05" customHeight="1">
      <c r="B31" s="27"/>
      <c r="C31" s="13">
        <f>26261.2-SUM(C28:C30)</f>
        <v>7162.5</v>
      </c>
      <c r="D31" s="14">
        <v>7064.715</v>
      </c>
      <c r="E31" s="16">
        <f>652.1-SUM(E28:E30)</f>
        <v>161.8</v>
      </c>
      <c r="F31" s="16">
        <f>3232-SUM(F28:F30)</f>
        <v>907.7</v>
      </c>
      <c r="G31" s="12">
        <f>C31/C30-1</f>
        <v>0.06453338882035579</v>
      </c>
      <c r="H31" s="12">
        <f>(E31+F31-C31)/C31</f>
        <v>-0.850680628272251</v>
      </c>
      <c r="I31" s="12">
        <f>AVERAGE(H28:H31)</f>
        <v>-0.852030674296019</v>
      </c>
      <c r="J31" s="12"/>
    </row>
    <row r="32" ht="20.05" customHeight="1">
      <c r="B32" s="28">
        <v>2022</v>
      </c>
      <c r="C32" s="15">
        <v>7015.7</v>
      </c>
      <c r="D32" s="14">
        <v>7090.875</v>
      </c>
      <c r="E32" s="20">
        <f>161</f>
        <v>161</v>
      </c>
      <c r="F32" s="16">
        <v>852.7</v>
      </c>
      <c r="G32" s="12">
        <f>C32/C31-1</f>
        <v>-0.0204956369982548</v>
      </c>
      <c r="H32" s="12">
        <f>(E32+F32-C32)/C32</f>
        <v>-0.85550978519606</v>
      </c>
      <c r="I32" s="12">
        <f>AVERAGE(H29:H32)</f>
        <v>-0.85347004498909</v>
      </c>
      <c r="J32" s="12">
        <f>I32</f>
        <v>-0.85347004498909</v>
      </c>
    </row>
    <row r="33" ht="20.05" customHeight="1">
      <c r="B33" s="27"/>
      <c r="C33" s="29"/>
      <c r="D33" s="14">
        <f>'Model'!C6</f>
        <v>7296.328</v>
      </c>
      <c r="E33" s="21"/>
      <c r="F33" s="21"/>
      <c r="G33" s="30"/>
      <c r="H33" s="21"/>
      <c r="I33" s="12"/>
      <c r="J33" s="30">
        <f>'Model'!C7</f>
        <v>-0.85347004498909</v>
      </c>
    </row>
    <row r="34" ht="20.05" customHeight="1">
      <c r="B34" s="27"/>
      <c r="C34" s="29"/>
      <c r="D34" s="14">
        <f>'Model'!D6</f>
        <v>7588.18112</v>
      </c>
      <c r="E34" s="21"/>
      <c r="F34" s="31"/>
      <c r="G34" s="21"/>
      <c r="H34" s="21"/>
      <c r="I34" s="31"/>
      <c r="J34" s="31"/>
    </row>
    <row r="35" ht="20.05" customHeight="1">
      <c r="B35" s="27"/>
      <c r="C35" s="29"/>
      <c r="D35" s="14">
        <f>'Model'!E6</f>
        <v>7891.7083648</v>
      </c>
      <c r="E35" s="14">
        <f>SUM(C22:C32)</f>
        <v>67844.070000000007</v>
      </c>
      <c r="F35" s="14">
        <f>SUM(D22:D32)</f>
        <v>67728.244000000006</v>
      </c>
      <c r="G35" s="21"/>
      <c r="H35" s="21"/>
      <c r="I35" s="31"/>
      <c r="J35" s="31"/>
    </row>
    <row r="36" ht="20.05" customHeight="1">
      <c r="B36" s="28">
        <v>2023</v>
      </c>
      <c r="C36" s="29"/>
      <c r="D36" s="14">
        <f>'Model'!F6</f>
        <v>7733.874197504</v>
      </c>
      <c r="E36" s="21"/>
      <c r="F36" s="31"/>
      <c r="G36" s="21"/>
      <c r="H36" s="21"/>
      <c r="I36" s="31"/>
      <c r="J36" s="31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4062" style="32" customWidth="1"/>
    <col min="2" max="2" width="7.75" style="32" customWidth="1"/>
    <col min="3" max="16" width="11.3594" style="32" customWidth="1"/>
    <col min="17" max="16384" width="16.3516" style="32" customWidth="1"/>
  </cols>
  <sheetData>
    <row r="1" ht="31.9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45</v>
      </c>
      <c r="D3" t="s" s="5">
        <v>8</v>
      </c>
      <c r="E3" t="s" s="5">
        <v>46</v>
      </c>
      <c r="F3" t="s" s="5">
        <v>47</v>
      </c>
      <c r="G3" t="s" s="5">
        <v>48</v>
      </c>
      <c r="H3" t="s" s="5">
        <v>49</v>
      </c>
      <c r="I3" t="s" s="5">
        <v>14</v>
      </c>
      <c r="J3" t="s" s="5">
        <v>50</v>
      </c>
      <c r="K3" t="s" s="5">
        <v>51</v>
      </c>
      <c r="L3" t="s" s="5">
        <v>33</v>
      </c>
      <c r="M3" t="s" s="5">
        <v>35</v>
      </c>
      <c r="N3" t="s" s="5">
        <v>29</v>
      </c>
      <c r="O3" t="s" s="5">
        <v>35</v>
      </c>
      <c r="P3" s="33"/>
    </row>
    <row r="4" ht="20.25" customHeight="1">
      <c r="B4" s="23">
        <v>2015</v>
      </c>
      <c r="C4" s="34"/>
      <c r="D4" s="25">
        <v>539</v>
      </c>
      <c r="E4" s="35">
        <v>-185</v>
      </c>
      <c r="F4" s="35"/>
      <c r="G4" s="35"/>
      <c r="H4" s="35"/>
      <c r="I4" s="35"/>
      <c r="J4" s="35">
        <v>-43</v>
      </c>
      <c r="K4" s="35">
        <f>D4+E4</f>
        <v>354</v>
      </c>
      <c r="L4" s="25"/>
      <c r="M4" s="25"/>
      <c r="N4" s="25">
        <f>-(J4-F4-G4)</f>
        <v>43</v>
      </c>
      <c r="O4" s="25"/>
      <c r="P4" s="25">
        <v>1</v>
      </c>
    </row>
    <row r="5" ht="20.05" customHeight="1">
      <c r="B5" s="27"/>
      <c r="C5" s="29"/>
      <c r="D5" s="14">
        <v>345</v>
      </c>
      <c r="E5" s="16">
        <v>-178</v>
      </c>
      <c r="F5" s="16"/>
      <c r="G5" s="16"/>
      <c r="H5" s="16"/>
      <c r="I5" s="16"/>
      <c r="J5" s="16">
        <v>-760</v>
      </c>
      <c r="K5" s="16">
        <f>D5+E5</f>
        <v>167</v>
      </c>
      <c r="L5" s="14"/>
      <c r="M5" s="14"/>
      <c r="N5" s="14">
        <f>-(J5-F5+-G5)+N4</f>
        <v>803</v>
      </c>
      <c r="O5" s="14"/>
      <c r="P5" s="14">
        <f>1+P4</f>
        <v>2</v>
      </c>
    </row>
    <row r="6" ht="20.05" customHeight="1">
      <c r="B6" s="27"/>
      <c r="C6" s="29"/>
      <c r="D6" s="14">
        <v>731</v>
      </c>
      <c r="E6" s="16">
        <v>-248</v>
      </c>
      <c r="F6" s="16"/>
      <c r="G6" s="16"/>
      <c r="H6" s="16"/>
      <c r="I6" s="16"/>
      <c r="J6" s="16">
        <v>-46</v>
      </c>
      <c r="K6" s="16">
        <f>D6+E6</f>
        <v>483</v>
      </c>
      <c r="L6" s="14"/>
      <c r="M6" s="14"/>
      <c r="N6" s="14">
        <f>-(J6-F6+-G6)+N5</f>
        <v>849</v>
      </c>
      <c r="O6" s="14"/>
      <c r="P6" s="14">
        <f>1+P5</f>
        <v>3</v>
      </c>
    </row>
    <row r="7" ht="20.05" customHeight="1">
      <c r="B7" s="27"/>
      <c r="C7" s="29"/>
      <c r="D7" s="14">
        <v>813</v>
      </c>
      <c r="E7" s="16">
        <v>-190</v>
      </c>
      <c r="F7" s="16"/>
      <c r="G7" s="16"/>
      <c r="H7" s="16"/>
      <c r="I7" s="16"/>
      <c r="J7" s="16">
        <v>17</v>
      </c>
      <c r="K7" s="16">
        <f>D7+E7</f>
        <v>623</v>
      </c>
      <c r="L7" s="14"/>
      <c r="M7" s="14"/>
      <c r="N7" s="14">
        <f>-(J7-F7+-G7)+N6</f>
        <v>832</v>
      </c>
      <c r="O7" s="14"/>
      <c r="P7" s="14">
        <f>1+P6</f>
        <v>4</v>
      </c>
    </row>
    <row r="8" ht="20.05" customHeight="1">
      <c r="B8" s="28">
        <v>2016</v>
      </c>
      <c r="C8" s="29"/>
      <c r="D8" s="14">
        <v>290</v>
      </c>
      <c r="E8" s="16">
        <v>-221</v>
      </c>
      <c r="F8" s="16"/>
      <c r="G8" s="16"/>
      <c r="H8" s="16"/>
      <c r="I8" s="16"/>
      <c r="J8" s="16">
        <v>-3</v>
      </c>
      <c r="K8" s="16">
        <f>D8+E8</f>
        <v>69</v>
      </c>
      <c r="L8" s="14">
        <f>AVERAGE(K5:K8)</f>
        <v>335.5</v>
      </c>
      <c r="M8" s="14"/>
      <c r="N8" s="14">
        <f>-(J8-F8+-G8)+N7</f>
        <v>835</v>
      </c>
      <c r="O8" s="14"/>
      <c r="P8" s="14">
        <f>1+P7</f>
        <v>5</v>
      </c>
    </row>
    <row r="9" ht="20.05" customHeight="1">
      <c r="B9" s="27"/>
      <c r="C9" s="29"/>
      <c r="D9" s="14">
        <v>528</v>
      </c>
      <c r="E9" s="16">
        <v>-332</v>
      </c>
      <c r="F9" s="16"/>
      <c r="G9" s="16"/>
      <c r="H9" s="16"/>
      <c r="I9" s="16"/>
      <c r="J9" s="16">
        <v>-833</v>
      </c>
      <c r="K9" s="16">
        <f>D9+E9</f>
        <v>196</v>
      </c>
      <c r="L9" s="14">
        <f>AVERAGE(K6:K9)</f>
        <v>342.75</v>
      </c>
      <c r="M9" s="14"/>
      <c r="N9" s="14">
        <f>-(J9-F9+-G9)+N8</f>
        <v>1668</v>
      </c>
      <c r="O9" s="14"/>
      <c r="P9" s="14">
        <f>1+P8</f>
        <v>6</v>
      </c>
    </row>
    <row r="10" ht="20.05" customHeight="1">
      <c r="B10" s="27"/>
      <c r="C10" s="29"/>
      <c r="D10" s="14">
        <v>794</v>
      </c>
      <c r="E10" s="16">
        <v>-229</v>
      </c>
      <c r="F10" s="16"/>
      <c r="G10" s="16"/>
      <c r="H10" s="16"/>
      <c r="I10" s="16"/>
      <c r="J10" s="16">
        <v>-127</v>
      </c>
      <c r="K10" s="16">
        <f>D10+E10</f>
        <v>565</v>
      </c>
      <c r="L10" s="14">
        <f>AVERAGE(K7:K10)</f>
        <v>363.25</v>
      </c>
      <c r="M10" s="14"/>
      <c r="N10" s="14">
        <f>-(J10-F10+-G10)+N9</f>
        <v>1795</v>
      </c>
      <c r="O10" s="14"/>
      <c r="P10" s="14">
        <f>1+P9</f>
        <v>7</v>
      </c>
    </row>
    <row r="11" ht="20.05" customHeight="1">
      <c r="B11" s="27"/>
      <c r="C11" s="29"/>
      <c r="D11" s="14">
        <v>547</v>
      </c>
      <c r="E11" s="16">
        <v>-232</v>
      </c>
      <c r="F11" s="16"/>
      <c r="G11" s="16"/>
      <c r="H11" s="16"/>
      <c r="I11" s="16"/>
      <c r="J11" s="16">
        <v>22</v>
      </c>
      <c r="K11" s="16">
        <f>D11+E11</f>
        <v>315</v>
      </c>
      <c r="L11" s="14">
        <f>AVERAGE(K8:K11)</f>
        <v>286.25</v>
      </c>
      <c r="M11" s="14"/>
      <c r="N11" s="14">
        <f>-(J11-F11+-G11)+N10</f>
        <v>1773</v>
      </c>
      <c r="O11" s="14"/>
      <c r="P11" s="14">
        <f>1+P10</f>
        <v>8</v>
      </c>
    </row>
    <row r="12" ht="20.05" customHeight="1">
      <c r="B12" s="28">
        <v>2017</v>
      </c>
      <c r="C12" s="15">
        <v>5058</v>
      </c>
      <c r="D12" s="14">
        <v>356</v>
      </c>
      <c r="E12" s="16">
        <v>-189</v>
      </c>
      <c r="F12" s="16">
        <v>-7.1</v>
      </c>
      <c r="G12" s="16"/>
      <c r="H12" s="16"/>
      <c r="I12" s="16"/>
      <c r="J12" s="16">
        <v>31</v>
      </c>
      <c r="K12" s="16">
        <f>D12+E12</f>
        <v>167</v>
      </c>
      <c r="L12" s="14">
        <f>AVERAGE(K9:K12)</f>
        <v>310.75</v>
      </c>
      <c r="M12" s="14"/>
      <c r="N12" s="14">
        <f>-(J12-F12+-G12)+N11</f>
        <v>1734.9</v>
      </c>
      <c r="O12" s="14"/>
      <c r="P12" s="14">
        <f>1+P11</f>
        <v>9</v>
      </c>
    </row>
    <row r="13" ht="20.05" customHeight="1">
      <c r="B13" s="27"/>
      <c r="C13" s="15">
        <v>5517.8</v>
      </c>
      <c r="D13" s="14">
        <v>372</v>
      </c>
      <c r="E13" s="16">
        <v>-181</v>
      </c>
      <c r="F13" s="16">
        <v>-7.4</v>
      </c>
      <c r="G13" s="16"/>
      <c r="H13" s="16"/>
      <c r="I13" s="16"/>
      <c r="J13" s="16">
        <v>205</v>
      </c>
      <c r="K13" s="16">
        <f>D13+E13</f>
        <v>191</v>
      </c>
      <c r="L13" s="14">
        <f>AVERAGE(K10:K13)</f>
        <v>309.5</v>
      </c>
      <c r="M13" s="14"/>
      <c r="N13" s="14">
        <f>-(J13-F13+-G13)+N12</f>
        <v>1522.5</v>
      </c>
      <c r="O13" s="14"/>
      <c r="P13" s="14">
        <f>1+P12</f>
        <v>10</v>
      </c>
    </row>
    <row r="14" ht="20.05" customHeight="1">
      <c r="B14" s="27"/>
      <c r="C14" s="15">
        <v>10397.1</v>
      </c>
      <c r="D14" s="14">
        <v>659</v>
      </c>
      <c r="E14" s="16">
        <v>-355</v>
      </c>
      <c r="F14" s="16">
        <v>-10.4</v>
      </c>
      <c r="G14" s="16"/>
      <c r="H14" s="16"/>
      <c r="I14" s="16"/>
      <c r="J14" s="16">
        <v>-1090</v>
      </c>
      <c r="K14" s="16">
        <f>D14+E14</f>
        <v>304</v>
      </c>
      <c r="L14" s="14">
        <f>AVERAGE(K11:K14)</f>
        <v>244.25</v>
      </c>
      <c r="M14" s="14"/>
      <c r="N14" s="14">
        <f>-(J14-F14+-G14)+N13</f>
        <v>2602.1</v>
      </c>
      <c r="O14" s="14"/>
      <c r="P14" s="14">
        <f>1+P13</f>
        <v>11</v>
      </c>
    </row>
    <row r="15" ht="20.05" customHeight="1">
      <c r="B15" s="27"/>
      <c r="C15" s="15">
        <v>11352.9</v>
      </c>
      <c r="D15" s="14">
        <v>621</v>
      </c>
      <c r="E15" s="16">
        <v>-389</v>
      </c>
      <c r="F15" s="36">
        <v>-11.1</v>
      </c>
      <c r="G15" s="16"/>
      <c r="H15" s="16"/>
      <c r="I15" s="16"/>
      <c r="J15" s="16">
        <v>-122</v>
      </c>
      <c r="K15" s="16">
        <f>D15+E15</f>
        <v>232</v>
      </c>
      <c r="L15" s="14">
        <f>AVERAGE(K12:K15)</f>
        <v>223.5</v>
      </c>
      <c r="M15" s="14"/>
      <c r="N15" s="14">
        <f>-(J15-F15+-G15)+N14</f>
        <v>2713</v>
      </c>
      <c r="O15" s="14"/>
      <c r="P15" s="14">
        <f>1+P14</f>
        <v>12</v>
      </c>
    </row>
    <row r="16" ht="20.05" customHeight="1">
      <c r="B16" s="28">
        <v>2018</v>
      </c>
      <c r="C16" s="15">
        <v>5420.3</v>
      </c>
      <c r="D16" s="14">
        <v>457</v>
      </c>
      <c r="E16" s="16">
        <v>-226</v>
      </c>
      <c r="F16" s="16">
        <v>-7.1</v>
      </c>
      <c r="G16" s="16"/>
      <c r="H16" s="16"/>
      <c r="I16" s="16"/>
      <c r="J16" s="16">
        <v>23.2</v>
      </c>
      <c r="K16" s="16">
        <f>D16+E16</f>
        <v>231</v>
      </c>
      <c r="L16" s="14">
        <f>AVERAGE(K13:K16)</f>
        <v>239.5</v>
      </c>
      <c r="M16" s="14"/>
      <c r="N16" s="14">
        <f>-(J16-F16+-G16)+N15</f>
        <v>2682.7</v>
      </c>
      <c r="O16" s="14"/>
      <c r="P16" s="14">
        <f>1+P15</f>
        <v>13</v>
      </c>
    </row>
    <row r="17" ht="20.05" customHeight="1">
      <c r="B17" s="27"/>
      <c r="C17" s="15">
        <v>5326.8</v>
      </c>
      <c r="D17" s="14">
        <v>369</v>
      </c>
      <c r="E17" s="16">
        <v>-298</v>
      </c>
      <c r="F17" s="16">
        <v>-8.1</v>
      </c>
      <c r="G17" s="16"/>
      <c r="H17" s="16"/>
      <c r="I17" s="16"/>
      <c r="J17" s="16">
        <v>-54.7</v>
      </c>
      <c r="K17" s="16">
        <f>D17+E17</f>
        <v>71</v>
      </c>
      <c r="L17" s="14">
        <f>AVERAGE(K14:K17)</f>
        <v>209.5</v>
      </c>
      <c r="M17" s="14"/>
      <c r="N17" s="14">
        <f>-(J17-F17+-G17)+N16</f>
        <v>2729.3</v>
      </c>
      <c r="O17" s="14"/>
      <c r="P17" s="14">
        <f>1+P16</f>
        <v>14</v>
      </c>
    </row>
    <row r="18" ht="20.05" customHeight="1">
      <c r="B18" s="27"/>
      <c r="C18" s="15">
        <v>11218</v>
      </c>
      <c r="D18" s="14">
        <v>1087</v>
      </c>
      <c r="E18" s="16">
        <v>-427</v>
      </c>
      <c r="F18" s="16">
        <v>-5.7</v>
      </c>
      <c r="G18" s="16"/>
      <c r="H18" s="16"/>
      <c r="I18" s="16"/>
      <c r="J18" s="16">
        <v>-1223.5</v>
      </c>
      <c r="K18" s="16">
        <f>D18+E18</f>
        <v>660</v>
      </c>
      <c r="L18" s="14">
        <f>AVERAGE(K15:K18)</f>
        <v>298.5</v>
      </c>
      <c r="M18" s="14"/>
      <c r="N18" s="14">
        <f>-(J18-F18+-G18)+N17</f>
        <v>3947.1</v>
      </c>
      <c r="O18" s="14"/>
      <c r="P18" s="14">
        <f>1+P17</f>
        <v>15</v>
      </c>
    </row>
    <row r="19" ht="20.05" customHeight="1">
      <c r="B19" s="27"/>
      <c r="C19" s="15">
        <v>740.1</v>
      </c>
      <c r="D19" s="14">
        <v>858</v>
      </c>
      <c r="E19" s="16">
        <v>-339</v>
      </c>
      <c r="F19" s="36">
        <v>-8.699999999999999</v>
      </c>
      <c r="G19" s="16"/>
      <c r="H19" s="16"/>
      <c r="I19" s="16"/>
      <c r="J19" s="16">
        <v>115</v>
      </c>
      <c r="K19" s="16">
        <f>D19+E19</f>
        <v>519</v>
      </c>
      <c r="L19" s="14">
        <f>AVERAGE(K16:K19)</f>
        <v>370.25</v>
      </c>
      <c r="M19" s="14"/>
      <c r="N19" s="14">
        <f>-(J19-F19+-G19)+N18</f>
        <v>3823.4</v>
      </c>
      <c r="O19" s="14"/>
      <c r="P19" s="14">
        <f>1+P18</f>
        <v>16</v>
      </c>
    </row>
    <row r="20" ht="20.05" customHeight="1">
      <c r="B20" s="28">
        <v>2019</v>
      </c>
      <c r="C20" s="13">
        <v>5569</v>
      </c>
      <c r="D20" s="14">
        <v>320</v>
      </c>
      <c r="E20" s="16">
        <v>-402</v>
      </c>
      <c r="F20" s="16">
        <v>-6.2</v>
      </c>
      <c r="G20" s="16"/>
      <c r="H20" s="16"/>
      <c r="I20" s="16"/>
      <c r="J20" s="16">
        <v>134</v>
      </c>
      <c r="K20" s="16">
        <f>D20+E20</f>
        <v>-82</v>
      </c>
      <c r="L20" s="14">
        <f>AVERAGE(K17:K20)</f>
        <v>292</v>
      </c>
      <c r="M20" s="14"/>
      <c r="N20" s="14">
        <f>-(J20-F20+-G20)+N19</f>
        <v>3683.2</v>
      </c>
      <c r="O20" s="14"/>
      <c r="P20" s="14">
        <f>1+P19</f>
        <v>17</v>
      </c>
    </row>
    <row r="21" ht="20.05" customHeight="1">
      <c r="B21" s="27"/>
      <c r="C21" s="13">
        <v>6220</v>
      </c>
      <c r="D21" s="14">
        <v>567</v>
      </c>
      <c r="E21" s="16">
        <v>-466</v>
      </c>
      <c r="F21" s="16">
        <v>-8.800000000000001</v>
      </c>
      <c r="G21" s="16"/>
      <c r="H21" s="16"/>
      <c r="I21" s="16"/>
      <c r="J21" s="16">
        <v>-828</v>
      </c>
      <c r="K21" s="16">
        <f>D21+E21</f>
        <v>101</v>
      </c>
      <c r="L21" s="14">
        <f>AVERAGE(K18:K21)</f>
        <v>299.5</v>
      </c>
      <c r="M21" s="14"/>
      <c r="N21" s="14">
        <f>-(J21-F21+-G21)+N20</f>
        <v>4502.4</v>
      </c>
      <c r="O21" s="14"/>
      <c r="P21" s="14">
        <f>1+P20</f>
        <v>18</v>
      </c>
    </row>
    <row r="22" ht="20.05" customHeight="1">
      <c r="B22" s="27"/>
      <c r="C22" s="13">
        <v>6051</v>
      </c>
      <c r="D22" s="14">
        <v>669</v>
      </c>
      <c r="E22" s="16">
        <v>-473</v>
      </c>
      <c r="F22" s="16">
        <v>-12.1</v>
      </c>
      <c r="G22" s="16"/>
      <c r="H22" s="16"/>
      <c r="I22" s="16"/>
      <c r="J22" s="16">
        <v>-50</v>
      </c>
      <c r="K22" s="16">
        <f>D22+E22</f>
        <v>196</v>
      </c>
      <c r="L22" s="14">
        <f>AVERAGE(K19:K22)</f>
        <v>183.5</v>
      </c>
      <c r="M22" s="14"/>
      <c r="N22" s="14">
        <f>-(J22-F22+-G22)+N21</f>
        <v>4540.3</v>
      </c>
      <c r="O22" s="14"/>
      <c r="P22" s="14">
        <f>1+P21</f>
        <v>19</v>
      </c>
    </row>
    <row r="23" ht="20.05" customHeight="1">
      <c r="B23" s="27"/>
      <c r="C23" s="13">
        <v>6583</v>
      </c>
      <c r="D23" s="14">
        <v>947</v>
      </c>
      <c r="E23" s="16">
        <v>-560</v>
      </c>
      <c r="F23" s="36">
        <v>-12.9</v>
      </c>
      <c r="G23" s="16"/>
      <c r="H23" s="16"/>
      <c r="I23" s="16"/>
      <c r="J23" s="16">
        <v>37.1</v>
      </c>
      <c r="K23" s="16">
        <f>D23+E23</f>
        <v>387</v>
      </c>
      <c r="L23" s="14">
        <f>AVERAGE(K20:K23)</f>
        <v>150.5</v>
      </c>
      <c r="M23" s="14"/>
      <c r="N23" s="14">
        <f>-(J23-F23+-G23)+N22</f>
        <v>4490.3</v>
      </c>
      <c r="O23" s="14"/>
      <c r="P23" s="14">
        <f>1+P22</f>
        <v>20</v>
      </c>
    </row>
    <row r="24" ht="20.05" customHeight="1">
      <c r="B24" s="28">
        <v>2020</v>
      </c>
      <c r="C24" s="13">
        <v>6114</v>
      </c>
      <c r="D24" s="14">
        <v>721</v>
      </c>
      <c r="E24" s="16">
        <v>-342</v>
      </c>
      <c r="F24" s="16">
        <v>-14.8</v>
      </c>
      <c r="G24" s="16">
        <f>-9.1</f>
        <v>-9.1</v>
      </c>
      <c r="H24" s="16">
        <f>J24-I24-G24-F24</f>
        <v>322</v>
      </c>
      <c r="I24" s="16">
        <f>-2.1</f>
        <v>-2.1</v>
      </c>
      <c r="J24" s="16">
        <v>296</v>
      </c>
      <c r="K24" s="16">
        <f>D24+E24</f>
        <v>379</v>
      </c>
      <c r="L24" s="14">
        <f>AVERAGE(K21:K24)</f>
        <v>265.75</v>
      </c>
      <c r="M24" s="14"/>
      <c r="N24" s="14">
        <f>-(J24-F24+-G24)+N23</f>
        <v>4170.4</v>
      </c>
      <c r="O24" s="14"/>
      <c r="P24" s="14">
        <f>1+P23</f>
        <v>21</v>
      </c>
    </row>
    <row r="25" ht="20.05" customHeight="1">
      <c r="B25" s="27"/>
      <c r="C25" s="13">
        <v>6638</v>
      </c>
      <c r="D25" s="14">
        <v>816</v>
      </c>
      <c r="E25" s="16">
        <v>-227</v>
      </c>
      <c r="F25" s="16">
        <v>-21.4</v>
      </c>
      <c r="G25" s="16">
        <f>-13.6-0.1-G24</f>
        <v>-4.6</v>
      </c>
      <c r="H25" s="16">
        <f>J25-I25-G25-F25</f>
        <v>468.2</v>
      </c>
      <c r="I25" s="16">
        <f>-801.9-16.3-2.1-I24</f>
        <v>-818.2</v>
      </c>
      <c r="J25" s="16">
        <v>-376</v>
      </c>
      <c r="K25" s="16">
        <f>D25+E25</f>
        <v>589</v>
      </c>
      <c r="L25" s="14">
        <f>AVERAGE(K22:K25)</f>
        <v>387.75</v>
      </c>
      <c r="M25" s="14"/>
      <c r="N25" s="14">
        <f>-(J25-F25+-G25)+N24</f>
        <v>4520.4</v>
      </c>
      <c r="O25" s="14"/>
      <c r="P25" s="14">
        <f>1+P24</f>
        <v>22</v>
      </c>
    </row>
    <row r="26" ht="20.05" customHeight="1">
      <c r="B26" s="27"/>
      <c r="C26" s="13">
        <v>6032</v>
      </c>
      <c r="D26" s="14">
        <v>986</v>
      </c>
      <c r="E26" s="16">
        <v>-186</v>
      </c>
      <c r="F26" s="16">
        <v>-26.3</v>
      </c>
      <c r="G26" s="16">
        <f>-17.7-0.1-SUM(G24:G25)</f>
        <v>-4.1</v>
      </c>
      <c r="H26" s="16">
        <f>J26-I26-G26-F26</f>
        <v>-246.8</v>
      </c>
      <c r="I26" s="16">
        <f>-937.5-33.5-2.1-SUM(I24:I25)</f>
        <v>-152.8</v>
      </c>
      <c r="J26" s="16">
        <v>-430</v>
      </c>
      <c r="K26" s="16">
        <f>D26+E26</f>
        <v>800</v>
      </c>
      <c r="L26" s="14">
        <f>AVERAGE(K23:K26)</f>
        <v>538.75</v>
      </c>
      <c r="M26" s="14"/>
      <c r="N26" s="14">
        <f>-(J26-F26+-G26)+N25</f>
        <v>4920</v>
      </c>
      <c r="O26" s="14"/>
      <c r="P26" s="14">
        <f>1+P25</f>
        <v>23</v>
      </c>
    </row>
    <row r="27" ht="20.05" customHeight="1">
      <c r="B27" s="27"/>
      <c r="C27" s="13">
        <f>25453.5-SUM(C24:C26)</f>
        <v>6669.5</v>
      </c>
      <c r="D27" s="14">
        <f>4221.5-SUM(D24:D26)</f>
        <v>1698.5</v>
      </c>
      <c r="E27" s="16">
        <f>-951.2-SUM(E24:E26)</f>
        <v>-196.2</v>
      </c>
      <c r="F27" s="20">
        <v>-18</v>
      </c>
      <c r="G27" s="36">
        <f>-29.3-0.1-SUM(G24:G26)</f>
        <v>-11.6</v>
      </c>
      <c r="H27" s="16">
        <f>689.5+417+14-618.7-237.4-SUM(H24:H26)</f>
        <v>-279</v>
      </c>
      <c r="I27" s="16">
        <f>-1218.7-33.5-2.1-SUM(I24:I26)</f>
        <v>-281.2</v>
      </c>
      <c r="J27" s="16">
        <f>-1099.7-SUM(J24:J26)</f>
        <v>-589.7</v>
      </c>
      <c r="K27" s="16">
        <f>D27+E27</f>
        <v>1502.3</v>
      </c>
      <c r="L27" s="14">
        <f>AVERAGE(K24:K27)</f>
        <v>817.575</v>
      </c>
      <c r="M27" s="14"/>
      <c r="N27" s="14">
        <f>-(J27-F27+-G27)+N26</f>
        <v>5480.1</v>
      </c>
      <c r="O27" s="14"/>
      <c r="P27" s="14">
        <f>1+P26</f>
        <v>24</v>
      </c>
    </row>
    <row r="28" ht="20.05" customHeight="1">
      <c r="B28" s="28">
        <v>2021</v>
      </c>
      <c r="C28" s="13">
        <v>6350.5</v>
      </c>
      <c r="D28" s="14">
        <v>465.3</v>
      </c>
      <c r="E28" s="16">
        <v>-421.2</v>
      </c>
      <c r="F28" s="16">
        <v>-22.7</v>
      </c>
      <c r="G28" s="16">
        <v>-7.3</v>
      </c>
      <c r="H28" s="16">
        <f>J28-I28-G28-F28</f>
        <v>-344.9</v>
      </c>
      <c r="I28" s="16">
        <f>423.1</f>
        <v>423.1</v>
      </c>
      <c r="J28" s="16">
        <f>48.2</f>
        <v>48.2</v>
      </c>
      <c r="K28" s="14">
        <f>D28+E28</f>
        <v>44.1</v>
      </c>
      <c r="L28" s="14">
        <f>AVERAGE(K25:K28)</f>
        <v>733.85</v>
      </c>
      <c r="M28" s="14"/>
      <c r="N28" s="14">
        <f>-(J28-F28+-G28)+N27</f>
        <v>5401.9</v>
      </c>
      <c r="O28" s="14"/>
      <c r="P28" s="14">
        <f>1+P27</f>
        <v>25</v>
      </c>
    </row>
    <row r="29" ht="20.05" customHeight="1">
      <c r="B29" s="27"/>
      <c r="C29" s="13">
        <f>13274.6-C28</f>
        <v>6924.1</v>
      </c>
      <c r="D29" s="14">
        <f>794.9-D28</f>
        <v>329.6</v>
      </c>
      <c r="E29" s="16">
        <f>-603.9-E28</f>
        <v>-182.7</v>
      </c>
      <c r="F29" s="16">
        <v>-16.2</v>
      </c>
      <c r="G29" s="16">
        <v>-5.4</v>
      </c>
      <c r="H29" s="16">
        <f>J29-I29-G29-F29</f>
        <v>9.6</v>
      </c>
      <c r="I29" s="16">
        <f>867.6-1259.7-38.1-I28</f>
        <v>-853.3</v>
      </c>
      <c r="J29" s="16">
        <f>-817.1-J28</f>
        <v>-865.3</v>
      </c>
      <c r="K29" s="14">
        <f>D29+E29</f>
        <v>146.9</v>
      </c>
      <c r="L29" s="14">
        <f>AVERAGE(K26:K29)</f>
        <v>623.325</v>
      </c>
      <c r="M29" s="14"/>
      <c r="N29" s="14">
        <f>-(J29-F29+-G29)+N28</f>
        <v>6245.6</v>
      </c>
      <c r="O29" s="14"/>
      <c r="P29" s="14">
        <f>1+P28</f>
        <v>26</v>
      </c>
    </row>
    <row r="30" ht="20.05" customHeight="1">
      <c r="B30" s="27"/>
      <c r="C30" s="13">
        <f>21211.9-SUM(C28:C29)</f>
        <v>7937.3</v>
      </c>
      <c r="D30" s="14">
        <f>2304.65-SUM(D28:D29)</f>
        <v>1509.75</v>
      </c>
      <c r="E30" s="16">
        <f>-862.5-SUM(E28:E29)</f>
        <v>-258.6</v>
      </c>
      <c r="F30" s="16">
        <f>-53.1-SUM(F28:F29)</f>
        <v>-14.2</v>
      </c>
      <c r="G30" s="16">
        <f>-19.5-SUM(G28:G29)</f>
        <v>-6.8</v>
      </c>
      <c r="H30" s="16">
        <f>J30-I30-G30-F30</f>
        <v>-83.8</v>
      </c>
      <c r="I30" s="16">
        <f>867.6-1312.4-57.8-SUM(I28:I29)</f>
        <v>-72.40000000000001</v>
      </c>
      <c r="J30" s="16">
        <f>-994.3-SUM(J28:J29)</f>
        <v>-177.2</v>
      </c>
      <c r="K30" s="14">
        <f>D30+E30</f>
        <v>1251.15</v>
      </c>
      <c r="L30" s="14">
        <f>AVERAGE(K27:K30)</f>
        <v>736.1125</v>
      </c>
      <c r="M30" s="14"/>
      <c r="N30" s="14">
        <f>-(J30-F30+-G30)+N29</f>
        <v>6401.8</v>
      </c>
      <c r="O30" s="14"/>
      <c r="P30" s="14">
        <f>1+P29</f>
        <v>27</v>
      </c>
    </row>
    <row r="31" ht="20.05" customHeight="1">
      <c r="B31" s="27"/>
      <c r="C31" s="13">
        <f>28936.6-SUM(C28:C30)</f>
        <v>7724.7</v>
      </c>
      <c r="D31" s="14">
        <f>2825.9-SUM(D28:D30)</f>
        <v>521.25</v>
      </c>
      <c r="E31" s="16">
        <f>-1056-SUM(E28:E30)</f>
        <v>-193.5</v>
      </c>
      <c r="F31" s="16">
        <f>-66.6-SUM(F28:F30)</f>
        <v>-13.5</v>
      </c>
      <c r="G31" s="16">
        <f>-26.3-SUM(G28:G30)</f>
        <v>-6.8</v>
      </c>
      <c r="H31" s="16">
        <f>136.1-356.6-286.4-SUM(H28:H30)</f>
        <v>-87.8</v>
      </c>
      <c r="I31" s="16">
        <f>1227.3-1312.4-60.2-SUM(I28:I30)</f>
        <v>357.3</v>
      </c>
      <c r="J31" s="16">
        <f>-745.2-SUM(J28:J30)</f>
        <v>249.1</v>
      </c>
      <c r="K31" s="14">
        <f>D31+E31</f>
        <v>327.75</v>
      </c>
      <c r="L31" s="14">
        <f>AVERAGE(K28:K31)</f>
        <v>442.475</v>
      </c>
      <c r="M31" s="14"/>
      <c r="N31" s="14">
        <f>-(J31-F31+-G31)+N30</f>
        <v>6132.4</v>
      </c>
      <c r="O31" s="14"/>
      <c r="P31" s="14">
        <f>1+P30</f>
        <v>28</v>
      </c>
    </row>
    <row r="32" ht="20.05" customHeight="1">
      <c r="B32" s="28">
        <v>2022</v>
      </c>
      <c r="C32" s="13">
        <v>7336.6</v>
      </c>
      <c r="D32" s="14">
        <v>336.2</v>
      </c>
      <c r="E32" s="16">
        <v>-135.9</v>
      </c>
      <c r="F32" s="16">
        <v>-11.6</v>
      </c>
      <c r="G32" s="16">
        <v>-6.3</v>
      </c>
      <c r="H32" s="16">
        <f>J32-I32-G32-F32</f>
        <v>134.4</v>
      </c>
      <c r="I32" s="16">
        <v>-177.9</v>
      </c>
      <c r="J32" s="16">
        <v>-61.4</v>
      </c>
      <c r="K32" s="14">
        <f>D32+E32</f>
        <v>200.3</v>
      </c>
      <c r="L32" s="14">
        <f>AVERAGE(K29:K32)</f>
        <v>481.525</v>
      </c>
      <c r="M32" s="14">
        <f>L32</f>
        <v>481.525</v>
      </c>
      <c r="N32" s="14">
        <f>-(J32-F32+-G32)+N31</f>
        <v>6175.9</v>
      </c>
      <c r="O32" s="14">
        <f>N32</f>
        <v>6175.9</v>
      </c>
      <c r="P32" s="14">
        <f>1+P31</f>
        <v>29</v>
      </c>
    </row>
    <row r="33" ht="20.05" customHeight="1">
      <c r="B33" s="27"/>
      <c r="C33" s="13"/>
      <c r="D33" s="14"/>
      <c r="E33" s="16"/>
      <c r="F33" s="16"/>
      <c r="G33" s="16"/>
      <c r="H33" s="16"/>
      <c r="I33" s="16"/>
      <c r="J33" s="16"/>
      <c r="K33" s="14"/>
      <c r="L33" s="21"/>
      <c r="M33" s="14">
        <f>SUM('Model'!C9:F10)/4</f>
        <v>981.760590396688</v>
      </c>
      <c r="N33" s="21"/>
      <c r="O33" s="14">
        <f>'Model'!F33</f>
        <v>10914.4296365868</v>
      </c>
      <c r="P33" s="14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53906" style="37" customWidth="1"/>
    <col min="2" max="2" width="9.72656" style="37" customWidth="1"/>
    <col min="3" max="11" width="10.4297" style="37" customWidth="1"/>
    <col min="12" max="16384" width="16.3516" style="37" customWidth="1"/>
  </cols>
  <sheetData>
    <row r="1" ht="32.95" customHeight="1"/>
    <row r="2" ht="27.65" customHeight="1">
      <c r="B2" t="s" s="2">
        <v>52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53</v>
      </c>
      <c r="D3" t="s" s="5">
        <v>52</v>
      </c>
      <c r="E3" t="s" s="5">
        <v>23</v>
      </c>
      <c r="F3" t="s" s="5">
        <v>24</v>
      </c>
      <c r="G3" t="s" s="5">
        <v>11</v>
      </c>
      <c r="H3" t="s" s="5">
        <v>54</v>
      </c>
      <c r="I3" t="s" s="5">
        <v>26</v>
      </c>
      <c r="J3" t="s" s="5">
        <v>55</v>
      </c>
      <c r="K3" t="s" s="5">
        <v>35</v>
      </c>
    </row>
    <row r="4" ht="20.25" customHeight="1">
      <c r="B4" s="23">
        <v>2015</v>
      </c>
      <c r="C4" s="38">
        <v>2201</v>
      </c>
      <c r="D4" s="35">
        <v>13019</v>
      </c>
      <c r="E4" s="35">
        <f>D4-C4</f>
        <v>10818</v>
      </c>
      <c r="F4" s="35"/>
      <c r="G4" s="35">
        <v>2649</v>
      </c>
      <c r="H4" s="35">
        <v>10371</v>
      </c>
      <c r="I4" s="35">
        <f>G4+H4-C4-E4</f>
        <v>1</v>
      </c>
      <c r="J4" s="35">
        <f>C4-G4</f>
        <v>-448</v>
      </c>
      <c r="K4" s="35"/>
    </row>
    <row r="5" ht="20.05" customHeight="1">
      <c r="B5" s="27"/>
      <c r="C5" s="15">
        <v>1643</v>
      </c>
      <c r="D5" s="16">
        <v>12724</v>
      </c>
      <c r="E5" s="16">
        <f>D5-C5</f>
        <v>11081</v>
      </c>
      <c r="F5" s="16"/>
      <c r="G5" s="16">
        <v>2712</v>
      </c>
      <c r="H5" s="16">
        <v>10012</v>
      </c>
      <c r="I5" s="16">
        <f>G5+H5-C5-E5</f>
        <v>0</v>
      </c>
      <c r="J5" s="16">
        <f>C5-G5</f>
        <v>-1069</v>
      </c>
      <c r="K5" s="16"/>
    </row>
    <row r="6" ht="20.05" customHeight="1">
      <c r="B6" s="27"/>
      <c r="C6" s="15">
        <v>2125</v>
      </c>
      <c r="D6" s="16">
        <v>13260</v>
      </c>
      <c r="E6" s="16">
        <f>D6-C6</f>
        <v>11135</v>
      </c>
      <c r="F6" s="16"/>
      <c r="G6" s="16">
        <v>2771</v>
      </c>
      <c r="H6" s="16">
        <v>10489</v>
      </c>
      <c r="I6" s="16">
        <f>G6+H6-C6-E6</f>
        <v>0</v>
      </c>
      <c r="J6" s="16">
        <f>C6-G6</f>
        <v>-646</v>
      </c>
      <c r="K6" s="16"/>
    </row>
    <row r="7" ht="20.05" customHeight="1">
      <c r="B7" s="27"/>
      <c r="C7" s="15">
        <v>2719</v>
      </c>
      <c r="D7" s="16">
        <v>13696</v>
      </c>
      <c r="E7" s="16">
        <f>D7-C7</f>
        <v>10977</v>
      </c>
      <c r="F7" s="16"/>
      <c r="G7" s="16">
        <v>2758</v>
      </c>
      <c r="H7" s="16">
        <v>10938</v>
      </c>
      <c r="I7" s="16">
        <f>G7+H7-C7-E7</f>
        <v>0</v>
      </c>
      <c r="J7" s="16">
        <f>C7-G7</f>
        <v>-39</v>
      </c>
      <c r="K7" s="16"/>
    </row>
    <row r="8" ht="20.05" customHeight="1">
      <c r="B8" s="28">
        <v>2016</v>
      </c>
      <c r="C8" s="15">
        <v>2809</v>
      </c>
      <c r="D8" s="16">
        <v>14434</v>
      </c>
      <c r="E8" s="16">
        <f>D8-C8</f>
        <v>11625</v>
      </c>
      <c r="F8" s="16"/>
      <c r="G8" s="16">
        <v>2914</v>
      </c>
      <c r="H8" s="16">
        <v>11520</v>
      </c>
      <c r="I8" s="16">
        <f>G8+H8-C8-E8</f>
        <v>0</v>
      </c>
      <c r="J8" s="16">
        <f>C8-G8</f>
        <v>-105</v>
      </c>
      <c r="K8" s="16"/>
    </row>
    <row r="9" ht="20.05" customHeight="1">
      <c r="B9" s="27"/>
      <c r="C9" s="15">
        <v>2176</v>
      </c>
      <c r="D9" s="16">
        <v>14229</v>
      </c>
      <c r="E9" s="16">
        <f>D9-C9</f>
        <v>12053</v>
      </c>
      <c r="F9" s="16"/>
      <c r="G9" s="16">
        <v>2995</v>
      </c>
      <c r="H9" s="16">
        <v>11234</v>
      </c>
      <c r="I9" s="16">
        <f>G9+H9-C9-E9</f>
        <v>0</v>
      </c>
      <c r="J9" s="16">
        <f>C9-G9</f>
        <v>-819</v>
      </c>
      <c r="K9" s="16"/>
    </row>
    <row r="10" ht="20.05" customHeight="1">
      <c r="B10" s="27"/>
      <c r="C10" s="15">
        <v>2550</v>
      </c>
      <c r="D10" s="16">
        <v>14689</v>
      </c>
      <c r="E10" s="16">
        <f>D10-C10</f>
        <v>12139</v>
      </c>
      <c r="F10" s="16"/>
      <c r="G10" s="16">
        <v>2876</v>
      </c>
      <c r="H10" s="16">
        <v>11814</v>
      </c>
      <c r="I10" s="16">
        <f>G10+H10-C10-E10</f>
        <v>1</v>
      </c>
      <c r="J10" s="16">
        <f>C10-G10</f>
        <v>-326</v>
      </c>
      <c r="K10" s="16"/>
    </row>
    <row r="11" ht="20.05" customHeight="1">
      <c r="B11" s="27"/>
      <c r="C11" s="15">
        <v>2896</v>
      </c>
      <c r="D11" s="16">
        <v>15226</v>
      </c>
      <c r="E11" s="16">
        <f>D11-C11</f>
        <v>12330</v>
      </c>
      <c r="F11" s="16"/>
      <c r="G11" s="16">
        <v>2762</v>
      </c>
      <c r="H11" s="16">
        <v>12464</v>
      </c>
      <c r="I11" s="16">
        <f>G11+H11-C11-E11</f>
        <v>0</v>
      </c>
      <c r="J11" s="16">
        <f>C11-G11</f>
        <v>134</v>
      </c>
      <c r="K11" s="16"/>
    </row>
    <row r="12" ht="20.05" customHeight="1">
      <c r="B12" s="28">
        <v>2017</v>
      </c>
      <c r="C12" s="15">
        <v>3120</v>
      </c>
      <c r="D12" s="16">
        <v>15916</v>
      </c>
      <c r="E12" s="16">
        <f>D12-C12</f>
        <v>12796</v>
      </c>
      <c r="F12" s="16"/>
      <c r="G12" s="16">
        <v>2837</v>
      </c>
      <c r="H12" s="16">
        <v>13079</v>
      </c>
      <c r="I12" s="16">
        <f>G12+H12-C12-E12</f>
        <v>0</v>
      </c>
      <c r="J12" s="16">
        <f>C12-G12</f>
        <v>283</v>
      </c>
      <c r="K12" s="16"/>
    </row>
    <row r="13" ht="20.05" customHeight="1">
      <c r="B13" s="27"/>
      <c r="C13" s="15">
        <v>3301</v>
      </c>
      <c r="D13" s="16">
        <v>16437</v>
      </c>
      <c r="E13" s="16">
        <f>D13-C13</f>
        <v>13136</v>
      </c>
      <c r="F13" s="16"/>
      <c r="G13" s="16">
        <v>3762</v>
      </c>
      <c r="H13" s="16">
        <v>12676</v>
      </c>
      <c r="I13" s="16">
        <f>G13+H13-C13-E13</f>
        <v>1</v>
      </c>
      <c r="J13" s="16">
        <f>C13-G13</f>
        <v>-461</v>
      </c>
      <c r="K13" s="16"/>
    </row>
    <row r="14" ht="20.05" customHeight="1">
      <c r="B14" s="27"/>
      <c r="C14" s="15">
        <v>2726</v>
      </c>
      <c r="D14" s="16">
        <v>16225</v>
      </c>
      <c r="E14" s="16">
        <f>D14-C14</f>
        <v>13499</v>
      </c>
      <c r="F14" s="16"/>
      <c r="G14" s="16">
        <v>2961</v>
      </c>
      <c r="H14" s="16">
        <v>13264</v>
      </c>
      <c r="I14" s="16">
        <f>G14+H14-C14-E14</f>
        <v>0</v>
      </c>
      <c r="J14" s="16">
        <f>C14-G14</f>
        <v>-235</v>
      </c>
      <c r="K14" s="16"/>
    </row>
    <row r="15" ht="20.05" customHeight="1">
      <c r="B15" s="27"/>
      <c r="C15" s="15">
        <v>2785</v>
      </c>
      <c r="D15" s="16">
        <v>16616</v>
      </c>
      <c r="E15" s="16">
        <f>D15-C15</f>
        <v>13831</v>
      </c>
      <c r="F15" s="16"/>
      <c r="G15" s="16">
        <v>2722</v>
      </c>
      <c r="H15" s="16">
        <v>13894</v>
      </c>
      <c r="I15" s="16">
        <f>G15+H15-C15-E15</f>
        <v>0</v>
      </c>
      <c r="J15" s="16">
        <f>C15-G15</f>
        <v>63</v>
      </c>
      <c r="K15" s="16"/>
    </row>
    <row r="16" ht="20.05" customHeight="1">
      <c r="B16" s="28">
        <v>2018</v>
      </c>
      <c r="C16" s="15">
        <v>3046</v>
      </c>
      <c r="D16" s="16">
        <v>17307</v>
      </c>
      <c r="E16" s="16">
        <f>D16-C16</f>
        <v>14261</v>
      </c>
      <c r="F16" s="16"/>
      <c r="G16" s="16">
        <v>2798</v>
      </c>
      <c r="H16" s="16">
        <v>14508</v>
      </c>
      <c r="I16" s="16">
        <f>G16+H16-C16-E16</f>
        <v>-1</v>
      </c>
      <c r="J16" s="16">
        <f>C16-G16</f>
        <v>248</v>
      </c>
      <c r="K16" s="16"/>
    </row>
    <row r="17" ht="20.05" customHeight="1">
      <c r="B17" s="27"/>
      <c r="C17" s="15">
        <v>3126</v>
      </c>
      <c r="D17" s="16">
        <v>17893</v>
      </c>
      <c r="E17" s="16">
        <f>D17-C17</f>
        <v>14767</v>
      </c>
      <c r="F17" s="16"/>
      <c r="G17" s="16">
        <v>3921</v>
      </c>
      <c r="H17" s="16">
        <v>13972</v>
      </c>
      <c r="I17" s="16">
        <f>G17+H17-C17-E17</f>
        <v>0</v>
      </c>
      <c r="J17" s="16">
        <f>C17-G17</f>
        <v>-795</v>
      </c>
      <c r="K17" s="16"/>
    </row>
    <row r="18" ht="20.05" customHeight="1">
      <c r="B18" s="27"/>
      <c r="C18" s="15">
        <v>2529</v>
      </c>
      <c r="D18" s="16">
        <v>17531</v>
      </c>
      <c r="E18" s="16">
        <f>D18-C18</f>
        <v>15002</v>
      </c>
      <c r="F18" s="16"/>
      <c r="G18" s="16">
        <v>2953</v>
      </c>
      <c r="H18" s="16">
        <v>14578</v>
      </c>
      <c r="I18" s="16">
        <f>G18+H18-C18-E18</f>
        <v>0</v>
      </c>
      <c r="J18" s="16">
        <f>C18-G18</f>
        <v>-424</v>
      </c>
      <c r="K18" s="16"/>
    </row>
    <row r="19" ht="20.05" customHeight="1">
      <c r="B19" s="27"/>
      <c r="C19" s="15">
        <v>3153</v>
      </c>
      <c r="D19" s="16">
        <v>18146</v>
      </c>
      <c r="E19" s="16">
        <f>D19-C19</f>
        <v>14993</v>
      </c>
      <c r="F19" s="16"/>
      <c r="G19" s="16">
        <v>2851</v>
      </c>
      <c r="H19" s="16">
        <v>15295</v>
      </c>
      <c r="I19" s="16">
        <f>G19+H19-C19-E19</f>
        <v>0</v>
      </c>
      <c r="J19" s="16">
        <f>C19-G19</f>
        <v>302</v>
      </c>
      <c r="K19" s="16"/>
    </row>
    <row r="20" ht="20.05" customHeight="1">
      <c r="B20" s="28">
        <v>2019</v>
      </c>
      <c r="C20" s="15">
        <v>3201</v>
      </c>
      <c r="D20" s="16">
        <v>19178</v>
      </c>
      <c r="E20" s="16">
        <f>D20-C20</f>
        <v>15977</v>
      </c>
      <c r="F20" s="16"/>
      <c r="G20" s="16">
        <v>3320</v>
      </c>
      <c r="H20" s="16">
        <v>15858</v>
      </c>
      <c r="I20" s="16">
        <f>G20+H20-C20-E20</f>
        <v>0</v>
      </c>
      <c r="J20" s="16">
        <f>C20-G20</f>
        <v>-119</v>
      </c>
      <c r="K20" s="16"/>
    </row>
    <row r="21" ht="20.05" customHeight="1">
      <c r="B21" s="27"/>
      <c r="C21" s="15">
        <v>2478</v>
      </c>
      <c r="D21" s="16">
        <v>18813</v>
      </c>
      <c r="E21" s="16">
        <f>D21-C21</f>
        <v>16335</v>
      </c>
      <c r="F21" s="16"/>
      <c r="G21" s="16">
        <v>3516</v>
      </c>
      <c r="H21" s="16">
        <v>15297</v>
      </c>
      <c r="I21" s="16">
        <f>G21+H21-C21-E21</f>
        <v>0</v>
      </c>
      <c r="J21" s="16">
        <f>C21-G21</f>
        <v>-1038</v>
      </c>
      <c r="K21" s="16"/>
    </row>
    <row r="22" ht="20.05" customHeight="1">
      <c r="B22" s="27"/>
      <c r="C22" s="15">
        <v>2611</v>
      </c>
      <c r="D22" s="16">
        <v>19594</v>
      </c>
      <c r="E22" s="16">
        <f>D22-C22</f>
        <v>16983</v>
      </c>
      <c r="F22" s="16"/>
      <c r="G22" s="16">
        <v>3458</v>
      </c>
      <c r="H22" s="16">
        <v>16136</v>
      </c>
      <c r="I22" s="16">
        <f>G22+H22-C22-E22</f>
        <v>0</v>
      </c>
      <c r="J22" s="16">
        <f>C22-G22</f>
        <v>-847</v>
      </c>
      <c r="K22" s="16"/>
    </row>
    <row r="23" ht="20.05" customHeight="1">
      <c r="B23" s="27"/>
      <c r="C23" s="15">
        <v>3040.48</v>
      </c>
      <c r="D23" s="16">
        <v>20264.725</v>
      </c>
      <c r="E23" s="16">
        <f>D23-C23</f>
        <v>17224.245</v>
      </c>
      <c r="F23" s="16">
        <f>3519+389</f>
        <v>3908</v>
      </c>
      <c r="G23" s="16">
        <v>3559</v>
      </c>
      <c r="H23" s="16">
        <v>16705.5</v>
      </c>
      <c r="I23" s="16">
        <f>G23+H23-C23-E23</f>
        <v>-0.225</v>
      </c>
      <c r="J23" s="16">
        <f>C23-G23</f>
        <v>-518.52</v>
      </c>
      <c r="K23" s="16"/>
    </row>
    <row r="24" ht="20.05" customHeight="1">
      <c r="B24" s="28">
        <v>2020</v>
      </c>
      <c r="C24" s="15">
        <v>3927</v>
      </c>
      <c r="D24" s="16">
        <v>22132</v>
      </c>
      <c r="E24" s="16">
        <f>D24-C24</f>
        <v>18205</v>
      </c>
      <c r="F24" s="16">
        <f>3648+400+11</f>
        <v>4059</v>
      </c>
      <c r="G24" s="16">
        <v>4876</v>
      </c>
      <c r="H24" s="16">
        <v>17256</v>
      </c>
      <c r="I24" s="16">
        <f>G24+H24-C24-E24</f>
        <v>0</v>
      </c>
      <c r="J24" s="16">
        <f>C24-G24</f>
        <v>-949</v>
      </c>
      <c r="K24" s="16"/>
    </row>
    <row r="25" ht="20.05" customHeight="1">
      <c r="B25" s="27"/>
      <c r="C25" s="15">
        <v>4012</v>
      </c>
      <c r="D25" s="16">
        <v>22091</v>
      </c>
      <c r="E25" s="16">
        <f>D25-C25</f>
        <v>18079</v>
      </c>
      <c r="F25" s="16">
        <f>3764+21+409</f>
        <v>4194</v>
      </c>
      <c r="G25" s="16">
        <v>4911</v>
      </c>
      <c r="H25" s="16">
        <v>17181</v>
      </c>
      <c r="I25" s="16">
        <f>G25+H25-C25-E25</f>
        <v>1</v>
      </c>
      <c r="J25" s="16">
        <f>C25-G25</f>
        <v>-899</v>
      </c>
      <c r="K25" s="16"/>
    </row>
    <row r="26" ht="20.05" customHeight="1">
      <c r="B26" s="27"/>
      <c r="C26" s="15">
        <v>4401</v>
      </c>
      <c r="D26" s="16">
        <v>22450</v>
      </c>
      <c r="E26" s="16">
        <f>D26-C26</f>
        <v>18049</v>
      </c>
      <c r="F26" s="16">
        <f>3889+31+419</f>
        <v>4339</v>
      </c>
      <c r="G26" s="16">
        <v>4548</v>
      </c>
      <c r="H26" s="16">
        <v>17902</v>
      </c>
      <c r="I26" s="16">
        <f>G26+H26-C26-E26</f>
        <v>0</v>
      </c>
      <c r="J26" s="16">
        <f>C26-G26</f>
        <v>-147</v>
      </c>
      <c r="K26" s="16"/>
    </row>
    <row r="27" ht="20.05" customHeight="1">
      <c r="B27" s="27"/>
      <c r="C27" s="15">
        <v>5208</v>
      </c>
      <c r="D27" s="16">
        <v>22564</v>
      </c>
      <c r="E27" s="16">
        <f>D27-C27</f>
        <v>17356</v>
      </c>
      <c r="F27" s="16">
        <f>3951+44+430</f>
        <v>4425</v>
      </c>
      <c r="G27" s="16">
        <v>4288</v>
      </c>
      <c r="H27" s="16">
        <v>18276</v>
      </c>
      <c r="I27" s="16">
        <f>G27+H27-C27-E27</f>
        <v>0</v>
      </c>
      <c r="J27" s="16">
        <f>C27-G27</f>
        <v>920</v>
      </c>
      <c r="K27" s="16"/>
    </row>
    <row r="28" ht="20.05" customHeight="1">
      <c r="B28" s="28">
        <v>2021</v>
      </c>
      <c r="C28" s="15">
        <v>5324</v>
      </c>
      <c r="D28" s="16">
        <v>23931</v>
      </c>
      <c r="E28" s="16">
        <f>D28-C28</f>
        <v>18607</v>
      </c>
      <c r="F28" s="16">
        <f>55+4066+446</f>
        <v>4567</v>
      </c>
      <c r="G28" s="16">
        <v>4476</v>
      </c>
      <c r="H28" s="16">
        <v>19455</v>
      </c>
      <c r="I28" s="16">
        <f>G28+H28-C28-E28</f>
        <v>0</v>
      </c>
      <c r="J28" s="16">
        <f>C28-G28</f>
        <v>848</v>
      </c>
      <c r="K28" s="16"/>
    </row>
    <row r="29" ht="20.05" customHeight="1">
      <c r="B29" s="27"/>
      <c r="C29" s="15">
        <v>4604</v>
      </c>
      <c r="D29" s="16">
        <v>23407</v>
      </c>
      <c r="E29" s="16">
        <f>D29-C29</f>
        <v>18803</v>
      </c>
      <c r="F29" s="16">
        <f>64+4207+447</f>
        <v>4718</v>
      </c>
      <c r="G29" s="16">
        <v>4090</v>
      </c>
      <c r="H29" s="16">
        <v>19317</v>
      </c>
      <c r="I29" s="16">
        <f>G29+H29-C29-E29</f>
        <v>0</v>
      </c>
      <c r="J29" s="16">
        <f>C29-G29</f>
        <v>514</v>
      </c>
      <c r="K29" s="16"/>
    </row>
    <row r="30" ht="20.05" customHeight="1">
      <c r="B30" s="27"/>
      <c r="C30" s="15">
        <v>5647</v>
      </c>
      <c r="D30" s="16">
        <v>24267</v>
      </c>
      <c r="E30" s="16">
        <f>D30-C30</f>
        <v>18620</v>
      </c>
      <c r="F30" s="16">
        <f>4346+456+72</f>
        <v>4874</v>
      </c>
      <c r="G30" s="16">
        <v>4275</v>
      </c>
      <c r="H30" s="16">
        <v>19992</v>
      </c>
      <c r="I30" s="16">
        <f>G30+H30-C30-E30</f>
        <v>0</v>
      </c>
      <c r="J30" s="16">
        <f>C30-G30</f>
        <v>1372</v>
      </c>
      <c r="K30" s="16"/>
    </row>
    <row r="31" ht="20.05" customHeight="1">
      <c r="B31" s="27"/>
      <c r="C31" s="15">
        <v>6216</v>
      </c>
      <c r="D31" s="16">
        <v>25667</v>
      </c>
      <c r="E31" s="16">
        <f>D31-C31</f>
        <v>19451</v>
      </c>
      <c r="F31" s="16">
        <f>80+451+4378</f>
        <v>4909</v>
      </c>
      <c r="G31" s="16">
        <v>4401</v>
      </c>
      <c r="H31" s="16">
        <v>21266</v>
      </c>
      <c r="I31" s="16">
        <f>G31+H31-C31-E31</f>
        <v>0</v>
      </c>
      <c r="J31" s="16">
        <f>C31-G31</f>
        <v>1815</v>
      </c>
      <c r="K31" s="16"/>
    </row>
    <row r="32" ht="20.05" customHeight="1">
      <c r="B32" s="28">
        <v>2022</v>
      </c>
      <c r="C32" s="15">
        <v>6367</v>
      </c>
      <c r="D32" s="16">
        <v>26862</v>
      </c>
      <c r="E32" s="16">
        <f>D32-C32</f>
        <v>20495</v>
      </c>
      <c r="F32" s="16">
        <f>61+459+4503</f>
        <v>5023</v>
      </c>
      <c r="G32" s="16">
        <v>4916</v>
      </c>
      <c r="H32" s="16">
        <v>21946</v>
      </c>
      <c r="I32" s="16">
        <f>G32+H32-C32-E32</f>
        <v>0</v>
      </c>
      <c r="J32" s="16">
        <f>C32-G32</f>
        <v>1451</v>
      </c>
      <c r="K32" s="16">
        <f>J32</f>
        <v>1451</v>
      </c>
    </row>
    <row r="33" ht="20.05" customHeight="1">
      <c r="B33" s="27"/>
      <c r="C33" s="15"/>
      <c r="D33" s="16"/>
      <c r="E33" s="16"/>
      <c r="F33" s="16"/>
      <c r="G33" s="16"/>
      <c r="H33" s="16"/>
      <c r="I33" s="16"/>
      <c r="J33" s="16"/>
      <c r="K33" s="16">
        <f>'Model'!F31</f>
        <v>1551.4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3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5.26562" style="39" customWidth="1"/>
    <col min="2" max="4" width="10" style="39" customWidth="1"/>
    <col min="5" max="16384" width="16.3516" style="39" customWidth="1"/>
  </cols>
  <sheetData>
    <row r="1" ht="27.65" customHeight="1">
      <c r="A1" t="s" s="2">
        <v>56</v>
      </c>
      <c r="B1" s="2"/>
      <c r="C1" s="2"/>
      <c r="D1" s="2"/>
    </row>
    <row r="2" ht="32.25" customHeight="1">
      <c r="A2" s="4"/>
      <c r="B2" t="s" s="40">
        <v>57</v>
      </c>
      <c r="C2" t="s" s="40">
        <v>58</v>
      </c>
      <c r="D2" t="s" s="40">
        <v>59</v>
      </c>
    </row>
    <row r="3" ht="20.25" customHeight="1">
      <c r="A3" s="23">
        <v>2015</v>
      </c>
      <c r="B3" s="38">
        <v>1865</v>
      </c>
      <c r="C3" s="35"/>
      <c r="D3" s="35"/>
    </row>
    <row r="4" ht="20.05" customHeight="1">
      <c r="A4" s="27"/>
      <c r="B4" s="15">
        <v>1675</v>
      </c>
      <c r="C4" s="16"/>
      <c r="D4" s="16"/>
    </row>
    <row r="5" ht="20.05" customHeight="1">
      <c r="A5" s="27"/>
      <c r="B5" s="15">
        <v>1375</v>
      </c>
      <c r="C5" s="16"/>
      <c r="D5" s="16"/>
    </row>
    <row r="6" ht="20.05" customHeight="1">
      <c r="A6" s="27"/>
      <c r="B6" s="15">
        <v>1320</v>
      </c>
      <c r="C6" s="16"/>
      <c r="D6" s="16"/>
    </row>
    <row r="7" ht="20.05" customHeight="1">
      <c r="A7" s="28">
        <v>2016</v>
      </c>
      <c r="B7" s="15">
        <v>1445</v>
      </c>
      <c r="C7" s="16"/>
      <c r="D7" s="16"/>
    </row>
    <row r="8" ht="20.05" customHeight="1">
      <c r="A8" s="27"/>
      <c r="B8" s="15">
        <v>1530</v>
      </c>
      <c r="C8" s="16"/>
      <c r="D8" s="16"/>
    </row>
    <row r="9" ht="20.05" customHeight="1">
      <c r="A9" s="27"/>
      <c r="B9" s="15">
        <v>1715</v>
      </c>
      <c r="C9" s="16"/>
      <c r="D9" s="16"/>
    </row>
    <row r="10" ht="20.05" customHeight="1">
      <c r="A10" s="27"/>
      <c r="B10" s="15">
        <v>1515</v>
      </c>
      <c r="C10" s="16"/>
      <c r="D10" s="16"/>
    </row>
    <row r="11" ht="20.05" customHeight="1">
      <c r="A11" s="28">
        <v>2017</v>
      </c>
      <c r="B11" s="15">
        <v>1540</v>
      </c>
      <c r="C11" s="16"/>
      <c r="D11" s="16"/>
    </row>
    <row r="12" ht="20.05" customHeight="1">
      <c r="A12" s="27"/>
      <c r="B12" s="15">
        <v>1625</v>
      </c>
      <c r="C12" s="16"/>
      <c r="D12" s="16"/>
    </row>
    <row r="13" ht="20.05" customHeight="1">
      <c r="A13" s="27"/>
      <c r="B13" s="15">
        <v>1665</v>
      </c>
      <c r="C13" s="16"/>
      <c r="D13" s="16"/>
    </row>
    <row r="14" ht="20.05" customHeight="1">
      <c r="A14" s="27"/>
      <c r="B14" s="15">
        <v>1690</v>
      </c>
      <c r="C14" s="16"/>
      <c r="D14" s="16"/>
    </row>
    <row r="15" ht="20.05" customHeight="1">
      <c r="A15" s="28">
        <v>2018</v>
      </c>
      <c r="B15" s="15">
        <v>1500</v>
      </c>
      <c r="C15" s="16"/>
      <c r="D15" s="16"/>
    </row>
    <row r="16" ht="20.05" customHeight="1">
      <c r="A16" s="27"/>
      <c r="B16" s="15">
        <v>1220</v>
      </c>
      <c r="C16" s="16"/>
      <c r="D16" s="16"/>
    </row>
    <row r="17" ht="20.05" customHeight="1">
      <c r="A17" s="27"/>
      <c r="B17" s="15">
        <v>1380</v>
      </c>
      <c r="C17" s="16"/>
      <c r="D17" s="16"/>
    </row>
    <row r="18" ht="20.05" customHeight="1">
      <c r="A18" s="27"/>
      <c r="B18" s="15">
        <v>1520</v>
      </c>
      <c r="C18" s="16"/>
      <c r="D18" s="16"/>
    </row>
    <row r="19" ht="20.05" customHeight="1">
      <c r="A19" s="28">
        <v>2019</v>
      </c>
      <c r="B19" s="15">
        <v>1520</v>
      </c>
      <c r="C19" s="16"/>
      <c r="D19" s="16"/>
    </row>
    <row r="20" ht="20.05" customHeight="1">
      <c r="A20" s="27"/>
      <c r="B20" s="15">
        <v>1460</v>
      </c>
      <c r="C20" s="16"/>
      <c r="D20" s="16"/>
    </row>
    <row r="21" ht="20.05" customHeight="1">
      <c r="A21" s="27"/>
      <c r="B21" s="15">
        <v>1675</v>
      </c>
      <c r="C21" s="16"/>
      <c r="D21" s="16"/>
    </row>
    <row r="22" ht="20.05" customHeight="1">
      <c r="A22" s="27"/>
      <c r="B22" s="15">
        <v>1620</v>
      </c>
      <c r="C22" s="16"/>
      <c r="D22" s="16"/>
    </row>
    <row r="23" ht="20.05" customHeight="1">
      <c r="A23" s="28">
        <v>2020</v>
      </c>
      <c r="B23" s="15">
        <v>1200</v>
      </c>
      <c r="C23" s="16"/>
      <c r="D23" s="16"/>
    </row>
    <row r="24" ht="20.05" customHeight="1">
      <c r="A24" s="27"/>
      <c r="B24" s="15">
        <v>1460</v>
      </c>
      <c r="C24" s="16"/>
      <c r="D24" s="16">
        <v>2324.3402109145</v>
      </c>
    </row>
    <row r="25" ht="20.05" customHeight="1">
      <c r="A25" s="27"/>
      <c r="B25" s="15">
        <v>1550</v>
      </c>
      <c r="C25" s="21"/>
      <c r="D25" s="16">
        <v>2116.129511751540</v>
      </c>
    </row>
    <row r="26" ht="20.05" customHeight="1">
      <c r="A26" s="27"/>
      <c r="B26" s="15">
        <v>1480</v>
      </c>
      <c r="C26" s="21"/>
      <c r="D26" s="16">
        <v>2359.123741929560</v>
      </c>
    </row>
    <row r="27" ht="20.05" customHeight="1">
      <c r="A27" s="28">
        <v>2021</v>
      </c>
      <c r="B27" s="15">
        <v>1570</v>
      </c>
      <c r="C27" s="21"/>
      <c r="D27" s="16">
        <v>2083.342061887940</v>
      </c>
    </row>
    <row r="28" ht="20.05" customHeight="1">
      <c r="A28" s="27"/>
      <c r="B28" s="15">
        <v>1400</v>
      </c>
      <c r="C28" s="21"/>
      <c r="D28" s="16">
        <v>2079.390742688330</v>
      </c>
    </row>
    <row r="29" ht="20.05" customHeight="1">
      <c r="A29" s="27"/>
      <c r="B29" s="15">
        <v>1430</v>
      </c>
      <c r="C29" s="21"/>
      <c r="D29" s="16">
        <v>2079.390742688330</v>
      </c>
    </row>
    <row r="30" ht="20.05" customHeight="1">
      <c r="A30" s="27"/>
      <c r="B30" s="15">
        <v>1615</v>
      </c>
      <c r="C30" s="21"/>
      <c r="D30" s="16">
        <v>2079.390742688330</v>
      </c>
    </row>
    <row r="31" ht="20.05" customHeight="1">
      <c r="A31" s="28">
        <v>2022</v>
      </c>
      <c r="B31" s="15">
        <v>1610</v>
      </c>
      <c r="C31" s="21"/>
      <c r="D31" s="16"/>
    </row>
    <row r="32" ht="20.05" customHeight="1">
      <c r="A32" s="27"/>
      <c r="B32" s="15">
        <v>1615</v>
      </c>
      <c r="C32" s="16">
        <f>B32</f>
        <v>1615</v>
      </c>
      <c r="D32" s="16">
        <v>1948</v>
      </c>
    </row>
    <row r="33" ht="20.05" customHeight="1">
      <c r="A33" s="27"/>
      <c r="B33" s="15"/>
      <c r="C33" s="16">
        <f>'Model'!F44</f>
        <v>2178.297103602030</v>
      </c>
      <c r="D33" s="21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1.4844" style="41" customWidth="1"/>
    <col min="9" max="16384" width="16.3516" style="41" customWidth="1"/>
  </cols>
  <sheetData>
    <row r="1" ht="27.65" customHeight="1">
      <c r="A1" t="s" s="2">
        <v>60</v>
      </c>
      <c r="B1" s="2"/>
      <c r="C1" s="2"/>
      <c r="D1" s="2"/>
      <c r="E1" s="2"/>
      <c r="F1" s="2"/>
      <c r="G1" s="2"/>
      <c r="H1" s="2"/>
    </row>
    <row r="2" ht="20.25" customHeight="1">
      <c r="A2" t="s" s="40">
        <v>1</v>
      </c>
      <c r="B2" t="s" s="40">
        <v>11</v>
      </c>
      <c r="C2" t="s" s="40">
        <v>54</v>
      </c>
      <c r="D2" t="s" s="40">
        <v>61</v>
      </c>
      <c r="E2" t="s" s="40">
        <v>11</v>
      </c>
      <c r="F2" t="s" s="40">
        <v>54</v>
      </c>
      <c r="G2" t="s" s="40">
        <v>61</v>
      </c>
      <c r="H2" s="4"/>
    </row>
    <row r="3" ht="20.25" customHeight="1">
      <c r="A3" s="23">
        <v>2001</v>
      </c>
      <c r="B3" s="38">
        <v>-59.708</v>
      </c>
      <c r="C3" s="35">
        <v>-14.154</v>
      </c>
      <c r="D3" s="35">
        <f>B3+C3</f>
        <v>-73.86199999999999</v>
      </c>
      <c r="E3" s="35">
        <f>B3</f>
        <v>-59.708</v>
      </c>
      <c r="F3" s="35">
        <f>C3</f>
        <v>-14.154</v>
      </c>
      <c r="G3" s="35">
        <f>D3</f>
        <v>-73.86199999999999</v>
      </c>
      <c r="H3" s="8"/>
    </row>
    <row r="4" ht="20.05" customHeight="1">
      <c r="A4" s="28">
        <f>1+$A3</f>
        <v>2002</v>
      </c>
      <c r="B4" s="15">
        <v>-90.173</v>
      </c>
      <c r="C4" s="16">
        <v>-6.091</v>
      </c>
      <c r="D4" s="16">
        <f>B4+C4</f>
        <v>-96.264</v>
      </c>
      <c r="E4" s="16">
        <f>B4+E3</f>
        <v>-149.881</v>
      </c>
      <c r="F4" s="16">
        <f>C4+F3</f>
        <v>-20.245</v>
      </c>
      <c r="G4" s="16">
        <f>D4+G3</f>
        <v>-170.126</v>
      </c>
      <c r="H4" s="21"/>
    </row>
    <row r="5" ht="20.05" customHeight="1">
      <c r="A5" s="28">
        <f>1+$A4</f>
        <v>2003</v>
      </c>
      <c r="B5" s="15">
        <v>23.878</v>
      </c>
      <c r="C5" s="16">
        <v>-15.384</v>
      </c>
      <c r="D5" s="16">
        <f>B5+C5</f>
        <v>8.494</v>
      </c>
      <c r="E5" s="16">
        <f>B5+E4</f>
        <v>-126.003</v>
      </c>
      <c r="F5" s="16">
        <f>C5+F4</f>
        <v>-35.629</v>
      </c>
      <c r="G5" s="16">
        <f>D5+G4</f>
        <v>-161.632</v>
      </c>
      <c r="H5" s="21"/>
    </row>
    <row r="6" ht="20.05" customHeight="1">
      <c r="A6" s="28">
        <f>1+$A5</f>
        <v>2004</v>
      </c>
      <c r="B6" s="15">
        <v>-112.739</v>
      </c>
      <c r="C6" s="16">
        <v>-16.389</v>
      </c>
      <c r="D6" s="16">
        <f>B6+C6</f>
        <v>-129.128</v>
      </c>
      <c r="E6" s="16">
        <f>B6+E5</f>
        <v>-238.742</v>
      </c>
      <c r="F6" s="16">
        <f>C6+F5</f>
        <v>-52.018</v>
      </c>
      <c r="G6" s="16">
        <f>D6+G5</f>
        <v>-290.76</v>
      </c>
      <c r="H6" s="21"/>
    </row>
    <row r="7" ht="20.05" customHeight="1">
      <c r="A7" s="28">
        <f>1+$A6</f>
        <v>2005</v>
      </c>
      <c r="B7" s="15">
        <v>-294.614</v>
      </c>
      <c r="C7" s="16">
        <v>60.145</v>
      </c>
      <c r="D7" s="16">
        <f>B7+C7</f>
        <v>-234.469</v>
      </c>
      <c r="E7" s="16">
        <f>B7+E6</f>
        <v>-533.356</v>
      </c>
      <c r="F7" s="16">
        <f>C7+F6</f>
        <v>8.127000000000001</v>
      </c>
      <c r="G7" s="16">
        <f>D7+G6</f>
        <v>-525.229</v>
      </c>
      <c r="H7" s="21"/>
    </row>
    <row r="8" ht="20.05" customHeight="1">
      <c r="A8" s="28">
        <f>1+$A7</f>
        <v>2006</v>
      </c>
      <c r="B8" s="15">
        <v>-494.758</v>
      </c>
      <c r="C8" s="16">
        <v>32.88</v>
      </c>
      <c r="D8" s="16">
        <f>B8+C8</f>
        <v>-461.878</v>
      </c>
      <c r="E8" s="16">
        <f>B8+E7</f>
        <v>-1028.114</v>
      </c>
      <c r="F8" s="16">
        <f>C8+F7</f>
        <v>41.007</v>
      </c>
      <c r="G8" s="16">
        <f>D8+G7</f>
        <v>-987.107</v>
      </c>
      <c r="H8" s="21"/>
    </row>
    <row r="9" ht="20.05" customHeight="1">
      <c r="A9" s="28">
        <f>1+$A8</f>
        <v>2007</v>
      </c>
      <c r="B9" s="15">
        <v>-65.64100000000001</v>
      </c>
      <c r="C9" s="16">
        <v>-344.801</v>
      </c>
      <c r="D9" s="16">
        <f>B9+C9</f>
        <v>-410.442</v>
      </c>
      <c r="E9" s="16">
        <f>B9+E8</f>
        <v>-1093.755</v>
      </c>
      <c r="F9" s="16">
        <f>C9+F8</f>
        <v>-303.794</v>
      </c>
      <c r="G9" s="16">
        <f>D9+G8</f>
        <v>-1397.549</v>
      </c>
      <c r="H9" s="21"/>
    </row>
    <row r="10" ht="20.05" customHeight="1">
      <c r="A10" s="28">
        <f>1+$A9</f>
        <v>2008</v>
      </c>
      <c r="B10" s="15">
        <v>92.321</v>
      </c>
      <c r="C10" s="16">
        <v>-473.137</v>
      </c>
      <c r="D10" s="16">
        <f>B10+C10</f>
        <v>-380.816</v>
      </c>
      <c r="E10" s="16">
        <f>B10+E9</f>
        <v>-1001.434</v>
      </c>
      <c r="F10" s="16">
        <f>C10+F9</f>
        <v>-776.931</v>
      </c>
      <c r="G10" s="16">
        <f>D10+G9</f>
        <v>-1778.365</v>
      </c>
      <c r="H10" s="21"/>
    </row>
    <row r="11" ht="20.05" customHeight="1">
      <c r="A11" s="28">
        <f>1+$A10</f>
        <v>2009</v>
      </c>
      <c r="B11" s="15">
        <v>-13.469</v>
      </c>
      <c r="C11" s="16">
        <v>-275.773</v>
      </c>
      <c r="D11" s="16">
        <f>B11+C11</f>
        <v>-289.242</v>
      </c>
      <c r="E11" s="16">
        <f>B11+E10</f>
        <v>-1014.903</v>
      </c>
      <c r="F11" s="16">
        <f>C11+F10</f>
        <v>-1052.704</v>
      </c>
      <c r="G11" s="16">
        <f>D11+G10</f>
        <v>-2067.607</v>
      </c>
      <c r="H11" s="21"/>
    </row>
    <row r="12" ht="20.05" customHeight="1">
      <c r="A12" s="28">
        <f>1+$A11</f>
        <v>2010</v>
      </c>
      <c r="B12" s="15">
        <v>-314.545</v>
      </c>
      <c r="C12" s="16">
        <v>-239.214</v>
      </c>
      <c r="D12" s="16">
        <f>B12+C12</f>
        <v>-553.759</v>
      </c>
      <c r="E12" s="16">
        <f>B12+E11</f>
        <v>-1329.448</v>
      </c>
      <c r="F12" s="16">
        <f>C12+F11</f>
        <v>-1291.918</v>
      </c>
      <c r="G12" s="16">
        <f>D12+G11</f>
        <v>-2621.366</v>
      </c>
      <c r="H12" s="21"/>
    </row>
    <row r="13" ht="20.05" customHeight="1">
      <c r="A13" s="28">
        <f>1+$A12</f>
        <v>2011</v>
      </c>
      <c r="B13" s="15">
        <v>115.766</v>
      </c>
      <c r="C13" s="16">
        <v>-507.74</v>
      </c>
      <c r="D13" s="16">
        <f>B13+C13</f>
        <v>-391.974</v>
      </c>
      <c r="E13" s="16">
        <f>B13+E12</f>
        <v>-1213.682</v>
      </c>
      <c r="F13" s="16">
        <f>C13+F12</f>
        <v>-1799.658</v>
      </c>
      <c r="G13" s="16">
        <f>D13+G12</f>
        <v>-3013.34</v>
      </c>
      <c r="H13" s="21"/>
    </row>
    <row r="14" ht="20.05" customHeight="1">
      <c r="A14" s="28">
        <f>1+$A13</f>
        <v>2012</v>
      </c>
      <c r="B14" s="42">
        <v>31.424</v>
      </c>
      <c r="C14" s="16">
        <v>-916.042</v>
      </c>
      <c r="D14" s="16">
        <f>B14+C14</f>
        <v>-884.6180000000001</v>
      </c>
      <c r="E14" s="16">
        <f>B14+E13</f>
        <v>-1182.258</v>
      </c>
      <c r="F14" s="16">
        <f>C14+F13</f>
        <v>-2715.7</v>
      </c>
      <c r="G14" s="16">
        <f>D14+G13</f>
        <v>-3897.958</v>
      </c>
      <c r="H14" s="21"/>
    </row>
    <row r="15" ht="20.05" customHeight="1">
      <c r="A15" s="28">
        <f>1+$A14</f>
        <v>2013</v>
      </c>
      <c r="B15" s="15">
        <v>309.62</v>
      </c>
      <c r="C15" s="16">
        <v>-874.189</v>
      </c>
      <c r="D15" s="16">
        <f>B15+C15</f>
        <v>-564.569</v>
      </c>
      <c r="E15" s="16">
        <f>B15+E14</f>
        <v>-872.638</v>
      </c>
      <c r="F15" s="16">
        <f>C15+F14</f>
        <v>-3589.889</v>
      </c>
      <c r="G15" s="16">
        <f>D15+G14</f>
        <v>-4462.527</v>
      </c>
      <c r="H15" s="21"/>
    </row>
    <row r="16" ht="20.05" customHeight="1">
      <c r="A16" s="28">
        <f>1+$A15</f>
        <v>2014</v>
      </c>
      <c r="B16" s="15">
        <v>-293.234</v>
      </c>
      <c r="C16" s="16">
        <v>-804.644</v>
      </c>
      <c r="D16" s="16">
        <f>B16+C16</f>
        <v>-1097.878</v>
      </c>
      <c r="E16" s="16">
        <f>B16+E15</f>
        <v>-1165.872</v>
      </c>
      <c r="F16" s="16">
        <f>C16+F15</f>
        <v>-4394.533</v>
      </c>
      <c r="G16" s="16">
        <f>D16+G15</f>
        <v>-5560.405</v>
      </c>
      <c r="H16" s="21"/>
    </row>
    <row r="17" ht="20.05" customHeight="1">
      <c r="A17" s="28">
        <f>1+$A16</f>
        <v>2015</v>
      </c>
      <c r="B17" s="15">
        <v>98.57299999999999</v>
      </c>
      <c r="C17" s="16">
        <v>-906.176</v>
      </c>
      <c r="D17" s="16">
        <f>B17+C17</f>
        <v>-807.603</v>
      </c>
      <c r="E17" s="16">
        <f>B17+E16</f>
        <v>-1067.299</v>
      </c>
      <c r="F17" s="16">
        <f>C17+F16</f>
        <v>-5300.709</v>
      </c>
      <c r="G17" s="16">
        <f>D17+G16</f>
        <v>-6368.008</v>
      </c>
      <c r="H17" s="21"/>
    </row>
    <row r="18" ht="20.05" customHeight="1">
      <c r="A18" s="28">
        <f>1+$A17</f>
        <v>2016</v>
      </c>
      <c r="B18" s="15">
        <v>-82.477</v>
      </c>
      <c r="C18" s="16">
        <v>-824.3339999999999</v>
      </c>
      <c r="D18" s="16">
        <f>B18+C18</f>
        <v>-906.811</v>
      </c>
      <c r="E18" s="16">
        <f>B18+E17</f>
        <v>-1149.776</v>
      </c>
      <c r="F18" s="16">
        <f>C18+F17</f>
        <v>-6125.043</v>
      </c>
      <c r="G18" s="16">
        <f>D18+G17</f>
        <v>-7274.819</v>
      </c>
      <c r="H18" s="21"/>
    </row>
    <row r="19" ht="20.05" customHeight="1">
      <c r="A19" s="28">
        <f>1+$A18</f>
        <v>2017</v>
      </c>
      <c r="B19" s="15">
        <v>73.74299999999999</v>
      </c>
      <c r="C19" s="16">
        <v>-1012.84</v>
      </c>
      <c r="D19" s="16">
        <f>B19+C19</f>
        <v>-939.097</v>
      </c>
      <c r="E19" s="16">
        <f>B19+E18</f>
        <v>-1076.033</v>
      </c>
      <c r="F19" s="16">
        <f>C19+F18</f>
        <v>-7137.883</v>
      </c>
      <c r="G19" s="16">
        <f>D19+G18</f>
        <v>-8213.915999999999</v>
      </c>
      <c r="H19" s="21"/>
    </row>
    <row r="20" ht="20.05" customHeight="1">
      <c r="A20" s="28">
        <f>1+$A19</f>
        <v>2018</v>
      </c>
      <c r="B20" s="15">
        <v>43.849</v>
      </c>
      <c r="C20" s="16">
        <v>-1151.9</v>
      </c>
      <c r="D20" s="16">
        <f>B20+C20</f>
        <v>-1108.051</v>
      </c>
      <c r="E20" s="16">
        <f>B20+E19</f>
        <v>-1032.184</v>
      </c>
      <c r="F20" s="16">
        <f>C20+F19</f>
        <v>-8289.782999999999</v>
      </c>
      <c r="G20" s="16">
        <f>D20+G19</f>
        <v>-9321.967000000001</v>
      </c>
      <c r="H20" s="21"/>
    </row>
    <row r="21" ht="20.05" customHeight="1">
      <c r="A21" s="28">
        <f>1+$A20</f>
        <v>2019</v>
      </c>
      <c r="B21" s="15">
        <v>417.138</v>
      </c>
      <c r="C21" s="16">
        <v>-1082.876</v>
      </c>
      <c r="D21" s="16">
        <f>B21+C21</f>
        <v>-665.7380000000001</v>
      </c>
      <c r="E21" s="16">
        <f>B21+E20</f>
        <v>-615.046</v>
      </c>
      <c r="F21" s="16">
        <f>C21+F20</f>
        <v>-9372.659</v>
      </c>
      <c r="G21" s="16">
        <f>D21+G20</f>
        <v>-9987.705</v>
      </c>
      <c r="H21" s="20">
        <f>AVERAGE(D8:D23)</f>
        <v>-694.0325</v>
      </c>
    </row>
    <row r="22" ht="20.05" customHeight="1">
      <c r="A22" s="28">
        <f>1+$A21</f>
        <v>2020</v>
      </c>
      <c r="B22" s="15">
        <v>264.453</v>
      </c>
      <c r="C22" s="16">
        <v>-1254.297</v>
      </c>
      <c r="D22" s="16">
        <f>B22+C22</f>
        <v>-989.8440000000001</v>
      </c>
      <c r="E22" s="16">
        <f>B22+E21</f>
        <v>-350.593</v>
      </c>
      <c r="F22" s="16">
        <f>C22+F21</f>
        <v>-10626.956</v>
      </c>
      <c r="G22" s="16">
        <f>D22+G21</f>
        <v>-10977.549</v>
      </c>
      <c r="H22" s="20">
        <f>AVERAGE(D19:D23)</f>
        <v>-870.986</v>
      </c>
    </row>
    <row r="23" ht="20.05" customHeight="1">
      <c r="A23" s="28">
        <f>1+$A22</f>
        <v>2021</v>
      </c>
      <c r="B23" s="15">
        <f>SUM('Cashflow '!H28:H31)</f>
        <v>-506.9</v>
      </c>
      <c r="C23" s="16">
        <f>SUM('Cashflow '!I28:I31)</f>
        <v>-145.3</v>
      </c>
      <c r="D23" s="16">
        <f>B23+C23</f>
        <v>-652.2</v>
      </c>
      <c r="E23" s="16">
        <f>B23+E22</f>
        <v>-857.4930000000001</v>
      </c>
      <c r="F23" s="16">
        <f>C23+F22</f>
        <v>-10772.256</v>
      </c>
      <c r="G23" s="16">
        <f>D23+G22</f>
        <v>-11629.749</v>
      </c>
      <c r="H23" s="20">
        <f>SUM('Cashflow '!H29:I32)</f>
        <v>-773.9</v>
      </c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