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<sst xmlns="http://schemas.openxmlformats.org/spreadsheetml/2006/main" uniqueCount="57">
  <si>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</si>
  <si>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</si>
  <si>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</si>
  <si>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</si>
  <si>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</si>
  <si>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</si>
  <si>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</si>
  <si>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</si>
  <si>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</si>
  <si>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</si>
  <si>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 xml:space="preserve">Leases 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</si>
  <si>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</si>
  <si>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</si>
  <si>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</si>
  <si>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</si>
  <si>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</si>
  <si>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</si>
  <si>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</si>
  <si>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</si>
  <si>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</si>
  <si>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</si>
  <si>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</si>
  <si>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</si>
  <si>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</si>
  <si>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</si>
  <si>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</si>
  <si>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</si>
  <si>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</si>
  <si>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</si>
  <si>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</si>
  <si>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</si>
  <si>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</si>
  <si>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</si>
  <si>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</si>
  <si>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</si>
  <si>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</si>
  <si>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</si>
  <si>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</si>
  <si>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</si>
  <si>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</si>
  <si>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</si>
  <si>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</si>
  <si>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</si>
  <si>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</si>
  <si>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Sales growth </t>
  </si>
  <si>
    <t xml:space="preserve">Receipts </t>
  </si>
  <si>
    <t xml:space="preserve">Operating </t>
  </si>
  <si>
    <t xml:space="preserve">Investment </t>
  </si>
  <si>
    <t>Leases</t>
  </si>
  <si>
    <t xml:space="preserve">Free cashflow </t>
  </si>
  <si>
    <t>Assets</t>
  </si>
  <si>
    <t>Rp bn</t>
  </si>
  <si>
    <t>Cash</t>
  </si>
  <si>
    <t>Other Assets</t>
  </si>
  <si>
    <t>Net cash</t>
  </si>
  <si>
    <t>Share price</t>
  </si>
  <si>
    <t>KEJU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</si>
</sst>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1" fontId="3" borderId="3" applyNumberFormat="1" applyFont="1" applyFill="0" applyBorder="1" applyAlignment="1" applyProtection="0">
      <alignment horizontal="right" vertical="center" wrapText="1" readingOrder="1"/>
    </xf>
    <xf numFmtId="1" fontId="3" borderId="6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450067</xdr:colOff>
      <xdr:row>1</xdr:row>
      <xdr:rowOff>316527</xdr:rowOff>
    </xdr:from>
    <xdr:to>
      <xdr:col>13</xdr:col>
      <xdr:colOff>920221</xdr:colOff>
      <xdr:row>50</xdr:row>
      <xdr:rowOff>11303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44267" y="1033442"/>
          <a:ext cx="9182355" cy="122715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08594" style="1" customWidth="1"/>
    <col min="2" max="2" width="14.7656" style="1" customWidth="1"/>
    <col min="3" max="6" width="9.17188" style="1" customWidth="1"/>
    <col min="7" max="16384" width="16.3516" style="1" customWidth="1"/>
  </cols>
  <sheetData>
    <row r="1" ht="56.4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AVERAGE('Sales'!G17:G20)</f>
        <v>0.0502956600372765</v>
      </c>
      <c r="D4" s="8"/>
      <c r="E4" s="8"/>
      <c r="F4" s="9">
        <f>AVERAGE(C5:F5)</f>
        <v>0.0225</v>
      </c>
    </row>
    <row r="5" ht="20.05" customHeight="1">
      <c r="B5" t="s" s="10">
        <v>4</v>
      </c>
      <c r="C5" s="11">
        <v>0.03</v>
      </c>
      <c r="D5" s="12">
        <v>0.03</v>
      </c>
      <c r="E5" s="12">
        <v>0.05</v>
      </c>
      <c r="F5" s="12">
        <v>-0.02</v>
      </c>
    </row>
    <row r="6" ht="20.05" customHeight="1">
      <c r="B6" t="s" s="10">
        <v>5</v>
      </c>
      <c r="C6" s="13">
        <f>'Sales'!C20*(1+C5)</f>
        <v>300.863</v>
      </c>
      <c r="D6" s="14">
        <f>C6*(1+D5)</f>
        <v>309.88889</v>
      </c>
      <c r="E6" s="14">
        <f>D6*(1+E5)</f>
        <v>325.3833345</v>
      </c>
      <c r="F6" s="14">
        <f>E6*(1+F5)</f>
        <v>318.87566781</v>
      </c>
    </row>
    <row r="7" ht="20.05" customHeight="1">
      <c r="B7" t="s" s="10">
        <v>6</v>
      </c>
      <c r="C7" s="15">
        <f>AVERAGE('Sales'!I20)</f>
        <v>-0.832386964651332</v>
      </c>
      <c r="D7" s="16">
        <f>C7</f>
        <v>-0.832386964651332</v>
      </c>
      <c r="E7" s="16">
        <f>D7</f>
        <v>-0.832386964651332</v>
      </c>
      <c r="F7" s="16">
        <f>E7</f>
        <v>-0.832386964651332</v>
      </c>
    </row>
    <row r="8" ht="20.05" customHeight="1">
      <c r="B8" t="s" s="10">
        <v>7</v>
      </c>
      <c r="C8" s="17">
        <f>C7*C6</f>
        <v>-250.434439345894</v>
      </c>
      <c r="D8" s="18">
        <f>D7*D6</f>
        <v>-257.947472526271</v>
      </c>
      <c r="E8" s="18">
        <f>E7*E6</f>
        <v>-270.844846152584</v>
      </c>
      <c r="F8" s="18">
        <f>F7*F6</f>
        <v>-265.427949229532</v>
      </c>
    </row>
    <row r="9" ht="20.05" customHeight="1">
      <c r="B9" t="s" s="10">
        <v>8</v>
      </c>
      <c r="C9" s="17">
        <f>C6+C8</f>
        <v>50.428560654106</v>
      </c>
      <c r="D9" s="18">
        <f>D6+D8</f>
        <v>51.941417473729</v>
      </c>
      <c r="E9" s="18">
        <f>E6+E8</f>
        <v>54.538488347416</v>
      </c>
      <c r="F9" s="18">
        <f>F6+F8</f>
        <v>53.447718580468</v>
      </c>
    </row>
    <row r="10" ht="20.05" customHeight="1">
      <c r="B10" t="s" s="10">
        <v>9</v>
      </c>
      <c r="C10" s="17">
        <f>AVERAGE('Cashflow'!E20)</f>
        <v>-20</v>
      </c>
      <c r="D10" s="18">
        <f>C10</f>
        <v>-20</v>
      </c>
      <c r="E10" s="18">
        <f>D10</f>
        <v>-20</v>
      </c>
      <c r="F10" s="18">
        <f>E10</f>
        <v>-20</v>
      </c>
    </row>
    <row r="11" ht="20.05" customHeight="1">
      <c r="B11" t="s" s="10">
        <v>10</v>
      </c>
      <c r="C11" s="17">
        <f>SUM('Cashflow'!F20)/3</f>
        <v>-1.03333333333333</v>
      </c>
      <c r="D11" s="18">
        <f>C11</f>
        <v>-1.03333333333333</v>
      </c>
      <c r="E11" s="18">
        <f>D11</f>
        <v>-1.03333333333333</v>
      </c>
      <c r="F11" s="18">
        <f>E11</f>
        <v>-1.03333333333333</v>
      </c>
    </row>
    <row r="12" ht="20.05" customHeight="1">
      <c r="B12" t="s" s="10">
        <v>11</v>
      </c>
      <c r="C12" s="17">
        <f>C13+C16+C14</f>
        <v>-30.428560654106</v>
      </c>
      <c r="D12" s="18">
        <f>D13+D16+D14</f>
        <v>-31.941417473729</v>
      </c>
      <c r="E12" s="18">
        <f>E13+E16+E14</f>
        <v>-34.538488347416</v>
      </c>
      <c r="F12" s="18">
        <f>F13+F16+F14</f>
        <v>-32.0637448026085</v>
      </c>
    </row>
    <row r="13" ht="20.05" customHeight="1">
      <c r="B13" t="s" s="10">
        <v>12</v>
      </c>
      <c r="C13" s="17">
        <f>-'Balance sheet'!G16/20</f>
        <v>-11.05</v>
      </c>
      <c r="D13" s="18">
        <f>-C28/20</f>
        <v>-10.4975</v>
      </c>
      <c r="E13" s="18">
        <f>-D28/20</f>
        <v>-9.972625000000001</v>
      </c>
      <c r="F13" s="18">
        <f>-E28/20</f>
        <v>-9.47399375</v>
      </c>
    </row>
    <row r="14" ht="20.05" customHeight="1">
      <c r="B14" t="s" s="10">
        <v>13</v>
      </c>
      <c r="C14" s="17">
        <f>-MIN(0,C17)</f>
        <v>1.535719672947</v>
      </c>
      <c r="D14" s="18">
        <f>-MIN(C29,D17)</f>
        <v>0.2267912631355</v>
      </c>
      <c r="E14" s="18">
        <f>-MIN(D29,E17)</f>
        <v>-1.596619173708</v>
      </c>
      <c r="F14" s="18">
        <f>-MIN(E29,F17)</f>
        <v>-0.1658917623745</v>
      </c>
    </row>
    <row r="15" ht="20.05" customHeight="1">
      <c r="B15" t="s" s="10">
        <v>14</v>
      </c>
      <c r="C15" s="19">
        <v>0.5</v>
      </c>
      <c r="D15" s="18"/>
      <c r="E15" s="18"/>
      <c r="F15" s="18"/>
    </row>
    <row r="16" ht="20.05" customHeight="1">
      <c r="B16" t="s" s="10">
        <v>15</v>
      </c>
      <c r="C16" s="17">
        <f>IF(C23&gt;0,-C23*$C$15,0)</f>
        <v>-20.914280327053</v>
      </c>
      <c r="D16" s="18">
        <f>IF(D23&gt;0,-D23*$C$15,0)</f>
        <v>-21.6707087368645</v>
      </c>
      <c r="E16" s="18">
        <f>IF(E23&gt;0,-E23*$C$15,0)</f>
        <v>-22.969244173708</v>
      </c>
      <c r="F16" s="18">
        <f>IF(F23&gt;0,-F23*$C$15,0)</f>
        <v>-22.423859290234</v>
      </c>
    </row>
    <row r="17" ht="20.05" customHeight="1">
      <c r="B17" t="s" s="10">
        <v>16</v>
      </c>
      <c r="C17" s="17">
        <f>C9+C10+C13+C16</f>
        <v>-1.535719672947</v>
      </c>
      <c r="D17" s="18">
        <f>D9+D10+D13+D16</f>
        <v>-0.2267912631355</v>
      </c>
      <c r="E17" s="18">
        <f>E9+E10+E13+E16</f>
        <v>1.596619173708</v>
      </c>
      <c r="F17" s="18">
        <f>F9+F10+F13+F16</f>
        <v>1.549865540234</v>
      </c>
    </row>
    <row r="18" ht="20.05" customHeight="1">
      <c r="B18" t="s" s="10">
        <v>17</v>
      </c>
      <c r="C18" s="17">
        <f>'Balance sheet'!C16</f>
        <v>178</v>
      </c>
      <c r="D18" s="18">
        <f>C20</f>
        <v>178</v>
      </c>
      <c r="E18" s="18">
        <f>D20</f>
        <v>178</v>
      </c>
      <c r="F18" s="18">
        <f>E20</f>
        <v>178</v>
      </c>
    </row>
    <row r="19" ht="20.05" customHeight="1">
      <c r="B19" t="s" s="10">
        <v>18</v>
      </c>
      <c r="C19" s="17">
        <f>C9+C10+C12</f>
        <v>0</v>
      </c>
      <c r="D19" s="18">
        <f>D9+D10+D12</f>
        <v>0</v>
      </c>
      <c r="E19" s="18">
        <f>E9+E10+E12</f>
        <v>0</v>
      </c>
      <c r="F19" s="18">
        <f>F9+F10+F12</f>
        <v>1.3839737778595</v>
      </c>
    </row>
    <row r="20" ht="20.05" customHeight="1">
      <c r="B20" t="s" s="10">
        <v>19</v>
      </c>
      <c r="C20" s="17">
        <f>C18+C19</f>
        <v>178</v>
      </c>
      <c r="D20" s="18">
        <f>D18+D19</f>
        <v>178</v>
      </c>
      <c r="E20" s="18">
        <f>E18+E19</f>
        <v>178</v>
      </c>
      <c r="F20" s="18">
        <f>F18+F19</f>
        <v>179.383973777860</v>
      </c>
    </row>
    <row r="21" ht="20.05" customHeight="1">
      <c r="B21" t="s" s="20">
        <v>20</v>
      </c>
      <c r="C21" s="21"/>
      <c r="D21" s="22"/>
      <c r="E21" s="22"/>
      <c r="F21" s="23"/>
    </row>
    <row r="22" ht="20.05" customHeight="1">
      <c r="B22" t="s" s="10">
        <v>21</v>
      </c>
      <c r="C22" s="17">
        <f>-AVERAGE('Sales'!E20)</f>
        <v>-8.6</v>
      </c>
      <c r="D22" s="18">
        <f>C22</f>
        <v>-8.6</v>
      </c>
      <c r="E22" s="18">
        <f>D22</f>
        <v>-8.6</v>
      </c>
      <c r="F22" s="18">
        <f>E22</f>
        <v>-8.6</v>
      </c>
    </row>
    <row r="23" ht="20.05" customHeight="1">
      <c r="B23" t="s" s="10">
        <v>22</v>
      </c>
      <c r="C23" s="17">
        <f>C6+C8+C22</f>
        <v>41.828560654106</v>
      </c>
      <c r="D23" s="18">
        <f>D6+D8+D22</f>
        <v>43.341417473729</v>
      </c>
      <c r="E23" s="18">
        <f>E6+E8+E22</f>
        <v>45.938488347416</v>
      </c>
      <c r="F23" s="18">
        <f>F6+F8+F22</f>
        <v>44.847718580468</v>
      </c>
    </row>
    <row r="24" ht="20.05" customHeight="1">
      <c r="B24" t="s" s="20">
        <v>23</v>
      </c>
      <c r="C24" s="21"/>
      <c r="D24" s="22"/>
      <c r="E24" s="22"/>
      <c r="F24" s="18"/>
    </row>
    <row r="25" ht="20.05" customHeight="1">
      <c r="B25" t="s" s="10">
        <v>24</v>
      </c>
      <c r="C25" s="17">
        <f>'Balance sheet'!E16+'Balance sheet'!F16-C10</f>
        <v>856</v>
      </c>
      <c r="D25" s="18">
        <f>C25-D10</f>
        <v>876</v>
      </c>
      <c r="E25" s="18">
        <f>D25-E10</f>
        <v>896</v>
      </c>
      <c r="F25" s="18">
        <f>E25-F10</f>
        <v>916</v>
      </c>
    </row>
    <row r="26" ht="20.05" customHeight="1">
      <c r="B26" t="s" s="10">
        <v>25</v>
      </c>
      <c r="C26" s="17">
        <f>'Balance sheet'!F16-C22</f>
        <v>175.6</v>
      </c>
      <c r="D26" s="18">
        <f>C26-D22</f>
        <v>184.2</v>
      </c>
      <c r="E26" s="18">
        <f>D26-E22</f>
        <v>192.8</v>
      </c>
      <c r="F26" s="18">
        <f>E26-F22</f>
        <v>201.4</v>
      </c>
    </row>
    <row r="27" ht="20.05" customHeight="1">
      <c r="B27" t="s" s="10">
        <v>26</v>
      </c>
      <c r="C27" s="17">
        <f>C25-C26</f>
        <v>680.4</v>
      </c>
      <c r="D27" s="18">
        <f>D25-D26</f>
        <v>691.8</v>
      </c>
      <c r="E27" s="18">
        <f>E25-E26</f>
        <v>703.2</v>
      </c>
      <c r="F27" s="18">
        <f>F25-F26</f>
        <v>714.6</v>
      </c>
    </row>
    <row r="28" ht="20.05" customHeight="1">
      <c r="B28" t="s" s="10">
        <v>12</v>
      </c>
      <c r="C28" s="17">
        <f>'Balance sheet'!G16+C13</f>
        <v>209.95</v>
      </c>
      <c r="D28" s="18">
        <f>C28+D13</f>
        <v>199.4525</v>
      </c>
      <c r="E28" s="18">
        <f>D28+E13</f>
        <v>189.479875</v>
      </c>
      <c r="F28" s="18">
        <f>E28+F13</f>
        <v>180.00588125</v>
      </c>
    </row>
    <row r="29" ht="20.05" customHeight="1">
      <c r="B29" t="s" s="10">
        <v>13</v>
      </c>
      <c r="C29" s="17">
        <f>C14</f>
        <v>1.535719672947</v>
      </c>
      <c r="D29" s="18">
        <f>C29+D14</f>
        <v>1.7625109360825</v>
      </c>
      <c r="E29" s="18">
        <f>D29+E14</f>
        <v>0.1658917623745</v>
      </c>
      <c r="F29" s="18">
        <f>E29+F14</f>
        <v>0</v>
      </c>
    </row>
    <row r="30" ht="20.05" customHeight="1">
      <c r="B30" t="s" s="10">
        <v>27</v>
      </c>
      <c r="C30" s="17">
        <f>'Balance sheet'!H16+C23+C16</f>
        <v>646.914280327053</v>
      </c>
      <c r="D30" s="18">
        <f>C30+D23+D16</f>
        <v>668.584989063918</v>
      </c>
      <c r="E30" s="18">
        <f>D30+E23+E16</f>
        <v>691.554233237626</v>
      </c>
      <c r="F30" s="18">
        <f>E30+F23+F16</f>
        <v>713.978092527860</v>
      </c>
    </row>
    <row r="31" ht="20.05" customHeight="1">
      <c r="B31" t="s" s="10">
        <v>28</v>
      </c>
      <c r="C31" s="17">
        <f>C28+C29+C30-C20-C27</f>
        <v>0</v>
      </c>
      <c r="D31" s="18">
        <f>D28+D29+D30-D20-D27</f>
        <v>5e-13</v>
      </c>
      <c r="E31" s="18">
        <f>E28+E29+E30-E20-E27</f>
        <v>5e-13</v>
      </c>
      <c r="F31" s="18">
        <f>F28+F29+F30-F20-F27</f>
        <v>0</v>
      </c>
    </row>
    <row r="32" ht="20.05" customHeight="1">
      <c r="B32" t="s" s="10">
        <v>29</v>
      </c>
      <c r="C32" s="17">
        <f>C20-C28-C29</f>
        <v>-33.485719672947</v>
      </c>
      <c r="D32" s="18">
        <f>D20-D28-D29</f>
        <v>-23.2150109360825</v>
      </c>
      <c r="E32" s="18">
        <f>E20-E28-E29</f>
        <v>-11.6457667623745</v>
      </c>
      <c r="F32" s="18">
        <f>F20-F28-F29</f>
        <v>-0.621907472140</v>
      </c>
    </row>
    <row r="33" ht="20.05" customHeight="1">
      <c r="B33" t="s" s="20">
        <v>30</v>
      </c>
      <c r="C33" s="17"/>
      <c r="D33" s="18"/>
      <c r="E33" s="18"/>
      <c r="F33" s="18"/>
    </row>
    <row r="34" ht="20.05" customHeight="1">
      <c r="B34" t="s" s="10">
        <v>31</v>
      </c>
      <c r="C34" s="17">
        <f>'Cashflow'!M20-C12</f>
        <v>468.999560654106</v>
      </c>
      <c r="D34" s="18">
        <f>C34-D12</f>
        <v>500.940978127835</v>
      </c>
      <c r="E34" s="18">
        <f>D34-E12</f>
        <v>535.479466475251</v>
      </c>
      <c r="F34" s="18">
        <f>E34-F12</f>
        <v>567.543211277860</v>
      </c>
    </row>
    <row r="35" ht="20.05" customHeight="1">
      <c r="B35" t="s" s="10">
        <v>32</v>
      </c>
      <c r="C35" s="17"/>
      <c r="D35" s="18"/>
      <c r="E35" s="18"/>
      <c r="F35" s="18">
        <v>1875000000000</v>
      </c>
    </row>
    <row r="36" ht="20.05" customHeight="1">
      <c r="B36" t="s" s="10">
        <v>32</v>
      </c>
      <c r="C36" s="17"/>
      <c r="D36" s="18"/>
      <c r="E36" s="18"/>
      <c r="F36" s="18">
        <f>F35/1000000000</f>
        <v>1875</v>
      </c>
    </row>
    <row r="37" ht="20.05" customHeight="1">
      <c r="B37" t="s" s="10">
        <v>33</v>
      </c>
      <c r="C37" s="17"/>
      <c r="D37" s="18"/>
      <c r="E37" s="18"/>
      <c r="F37" s="24">
        <f>F36/(F20+F27)</f>
        <v>2.09735303427923</v>
      </c>
    </row>
    <row r="38" ht="20.05" customHeight="1">
      <c r="B38" t="s" s="10">
        <v>34</v>
      </c>
      <c r="C38" s="17"/>
      <c r="D38" s="18"/>
      <c r="E38" s="18"/>
      <c r="F38" s="16">
        <f>-(C16+D16+E16+F16)/F36</f>
        <v>0.0469216493481917</v>
      </c>
    </row>
    <row r="39" ht="20.05" customHeight="1">
      <c r="B39" t="s" s="10">
        <v>3</v>
      </c>
      <c r="C39" s="17"/>
      <c r="D39" s="18"/>
      <c r="E39" s="18"/>
      <c r="F39" s="18">
        <f>SUM(C9:F11)</f>
        <v>126.222851722386</v>
      </c>
    </row>
    <row r="40" ht="20.05" customHeight="1">
      <c r="B40" t="s" s="10">
        <v>35</v>
      </c>
      <c r="C40" s="17"/>
      <c r="D40" s="18"/>
      <c r="E40" s="18"/>
      <c r="F40" s="18">
        <f>'Balance sheet'!E16/F39</f>
        <v>5.30014962323459</v>
      </c>
    </row>
    <row r="41" ht="20.05" customHeight="1">
      <c r="B41" t="s" s="10">
        <v>30</v>
      </c>
      <c r="C41" s="17"/>
      <c r="D41" s="18"/>
      <c r="E41" s="18"/>
      <c r="F41" s="18">
        <f>F36/F39</f>
        <v>14.8546794373167</v>
      </c>
    </row>
    <row r="42" ht="20.05" customHeight="1">
      <c r="B42" t="s" s="10">
        <v>36</v>
      </c>
      <c r="C42" s="17"/>
      <c r="D42" s="18"/>
      <c r="E42" s="18"/>
      <c r="F42" s="18">
        <v>18</v>
      </c>
    </row>
    <row r="43" ht="20.05" customHeight="1">
      <c r="B43" t="s" s="10">
        <v>37</v>
      </c>
      <c r="C43" s="17"/>
      <c r="D43" s="18"/>
      <c r="E43" s="18"/>
      <c r="F43" s="18">
        <f>F39*F42</f>
        <v>2272.011331002950</v>
      </c>
    </row>
    <row r="44" ht="20.05" customHeight="1">
      <c r="B44" t="s" s="10">
        <v>38</v>
      </c>
      <c r="C44" s="17"/>
      <c r="D44" s="18"/>
      <c r="E44" s="18"/>
      <c r="F44" s="18">
        <f>F36/F46</f>
        <v>1.5</v>
      </c>
    </row>
    <row r="45" ht="20.05" customHeight="1">
      <c r="B45" t="s" s="10">
        <v>39</v>
      </c>
      <c r="C45" s="17"/>
      <c r="D45" s="18"/>
      <c r="E45" s="18"/>
      <c r="F45" s="18">
        <f>F43/F44</f>
        <v>1514.674220668630</v>
      </c>
    </row>
    <row r="46" ht="20.05" customHeight="1">
      <c r="B46" t="s" s="10">
        <v>40</v>
      </c>
      <c r="C46" s="17"/>
      <c r="D46" s="18"/>
      <c r="E46" s="18"/>
      <c r="F46" s="18">
        <v>1250</v>
      </c>
    </row>
    <row r="47" ht="20.05" customHeight="1">
      <c r="B47" t="s" s="10">
        <v>41</v>
      </c>
      <c r="C47" s="17"/>
      <c r="D47" s="18"/>
      <c r="E47" s="18"/>
      <c r="F47" s="16">
        <f>F45/F46-1</f>
        <v>0.211739376534904</v>
      </c>
    </row>
    <row r="48" ht="20.05" customHeight="1">
      <c r="B48" t="s" s="10">
        <v>42</v>
      </c>
      <c r="C48" s="17"/>
      <c r="D48" s="18"/>
      <c r="E48" s="18"/>
      <c r="F48" s="16">
        <f>'Sales'!C20/'Sales'!C16-1</f>
        <v>0.170272435897436</v>
      </c>
    </row>
    <row r="49" ht="20.05" customHeight="1">
      <c r="B49" t="s" s="10">
        <v>43</v>
      </c>
      <c r="C49" s="17"/>
      <c r="D49" s="18"/>
      <c r="E49" s="18"/>
      <c r="F49" s="16">
        <f>'Sales'!F23/'Sales'!E23-1</f>
        <v>-0.0209227507374631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5" customWidth="1"/>
    <col min="2" max="2" width="7.00781" style="25" customWidth="1"/>
    <col min="3" max="10" width="9.10156" style="25" customWidth="1"/>
    <col min="11" max="16384" width="16.3516" style="25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36</v>
      </c>
      <c r="E3" t="s" s="5">
        <v>25</v>
      </c>
      <c r="F3" t="s" s="5">
        <v>22</v>
      </c>
      <c r="G3" t="s" s="5">
        <v>44</v>
      </c>
      <c r="H3" t="s" s="5">
        <v>6</v>
      </c>
      <c r="I3" t="s" s="5">
        <v>6</v>
      </c>
      <c r="J3" t="s" s="5">
        <v>36</v>
      </c>
    </row>
    <row r="4" ht="20.25" customHeight="1">
      <c r="B4" s="26">
        <v>2018</v>
      </c>
      <c r="C4" s="27">
        <v>214.2</v>
      </c>
      <c r="D4" s="8"/>
      <c r="E4" s="28"/>
      <c r="F4" s="28"/>
      <c r="G4" s="9"/>
      <c r="H4" s="9"/>
      <c r="I4" s="9"/>
      <c r="J4" s="9"/>
    </row>
    <row r="5" ht="20.05" customHeight="1">
      <c r="B5" s="29"/>
      <c r="C5" s="21">
        <v>214.2</v>
      </c>
      <c r="D5" s="23"/>
      <c r="E5" s="23"/>
      <c r="F5" s="23"/>
      <c r="G5" s="12"/>
      <c r="H5" s="12"/>
      <c r="I5" s="12"/>
      <c r="J5" s="12"/>
    </row>
    <row r="6" ht="20.05" customHeight="1">
      <c r="B6" s="29"/>
      <c r="C6" s="21">
        <v>214.2</v>
      </c>
      <c r="D6" s="23"/>
      <c r="E6" s="23"/>
      <c r="F6" s="23"/>
      <c r="G6" s="12"/>
      <c r="H6" s="12"/>
      <c r="I6" s="12"/>
      <c r="J6" s="12"/>
    </row>
    <row r="7" ht="20.05" customHeight="1">
      <c r="B7" s="29"/>
      <c r="C7" s="21">
        <v>214.2</v>
      </c>
      <c r="D7" s="23"/>
      <c r="E7" s="14">
        <f>27.8-SUM(E4:E6)</f>
        <v>27.8</v>
      </c>
      <c r="F7" s="14">
        <f>67.5-SUM(F4:F6)</f>
        <v>67.5</v>
      </c>
      <c r="G7" s="12"/>
      <c r="H7" s="16">
        <f>(E7+F7-C7)/C7</f>
        <v>-0.555088702147526</v>
      </c>
      <c r="I7" s="12"/>
      <c r="J7" s="12"/>
    </row>
    <row r="8" ht="20.05" customHeight="1">
      <c r="B8" s="30">
        <v>2019</v>
      </c>
      <c r="C8" s="21">
        <v>212.1</v>
      </c>
      <c r="D8" s="23"/>
      <c r="E8" s="14">
        <v>6.7</v>
      </c>
      <c r="F8" s="14">
        <v>15.8</v>
      </c>
      <c r="G8" s="16">
        <f>C8/C7-1</f>
        <v>-0.009803921568627451</v>
      </c>
      <c r="H8" s="16">
        <f>(E8+F8-C8)/C8</f>
        <v>-0.893917963224894</v>
      </c>
      <c r="I8" s="16">
        <f>AVERAGE(H5:H8)</f>
        <v>-0.72450333268621</v>
      </c>
      <c r="J8" s="16"/>
    </row>
    <row r="9" ht="20.05" customHeight="1">
      <c r="B9" s="29"/>
      <c r="C9" s="21">
        <f>457.3-C8</f>
        <v>245.2</v>
      </c>
      <c r="D9" s="23"/>
      <c r="E9" s="14">
        <f>19.5-E8</f>
        <v>12.8</v>
      </c>
      <c r="F9" s="14">
        <f>35.9-F8</f>
        <v>20.1</v>
      </c>
      <c r="G9" s="16">
        <f>C9/C8-1</f>
        <v>0.156058462989156</v>
      </c>
      <c r="H9" s="16">
        <f>(E9+F9-C9)/C9</f>
        <v>-0.865823817292007</v>
      </c>
      <c r="I9" s="16">
        <f>AVERAGE(H6:H9)</f>
        <v>-0.771610160888142</v>
      </c>
      <c r="J9" s="16"/>
    </row>
    <row r="10" ht="20.05" customHeight="1">
      <c r="B10" s="29"/>
      <c r="C10" s="21">
        <f>707.5-SUM(C8:C9)</f>
        <v>250.2</v>
      </c>
      <c r="D10" s="23"/>
      <c r="E10" s="14"/>
      <c r="F10" s="14">
        <f>67.1-SUM(F8:F9)</f>
        <v>31.2</v>
      </c>
      <c r="G10" s="16">
        <f>C10/C9-1</f>
        <v>0.0203915171288744</v>
      </c>
      <c r="H10" s="16">
        <f>(E10+F10-C10)/C10</f>
        <v>-0.875299760191847</v>
      </c>
      <c r="I10" s="16">
        <f>AVERAGE(H7:H10)</f>
        <v>-0.797532560714069</v>
      </c>
      <c r="J10" s="16"/>
    </row>
    <row r="11" ht="20.05" customHeight="1">
      <c r="B11" s="29"/>
      <c r="C11" s="21">
        <f>978.8-SUM(C8:C10)</f>
        <v>271.3</v>
      </c>
      <c r="D11" s="23"/>
      <c r="E11" s="14">
        <f>45.1-SUM(E8:E10)</f>
        <v>25.6</v>
      </c>
      <c r="F11" s="14">
        <f>98-SUM(F8:F10)</f>
        <v>30.9</v>
      </c>
      <c r="G11" s="16">
        <f>C11/C10-1</f>
        <v>0.0843325339728217</v>
      </c>
      <c r="H11" s="16">
        <f>(E11+F11-C11)/C11</f>
        <v>-0.791743457427202</v>
      </c>
      <c r="I11" s="16">
        <f>AVERAGE(H8:H11)</f>
        <v>-0.856696249533988</v>
      </c>
      <c r="J11" s="16"/>
    </row>
    <row r="12" ht="20.05" customHeight="1">
      <c r="B12" s="30">
        <v>2020</v>
      </c>
      <c r="C12" s="21">
        <v>230.1</v>
      </c>
      <c r="D12" s="23"/>
      <c r="E12" s="14">
        <v>6</v>
      </c>
      <c r="F12" s="14">
        <v>25.9</v>
      </c>
      <c r="G12" s="16">
        <f>C12/C11-1</f>
        <v>-0.151861408035385</v>
      </c>
      <c r="H12" s="16">
        <f>(E12+F12-C12)/C12</f>
        <v>-0.861364624076488</v>
      </c>
      <c r="I12" s="16">
        <f>AVERAGE(H9:H12)</f>
        <v>-0.848557914746886</v>
      </c>
      <c r="J12" s="16"/>
    </row>
    <row r="13" ht="20.05" customHeight="1">
      <c r="B13" s="29"/>
      <c r="C13" s="21">
        <f>429.5-C12</f>
        <v>199.4</v>
      </c>
      <c r="D13" s="23"/>
      <c r="E13" s="14">
        <f>16+6.1-E12</f>
        <v>16.1</v>
      </c>
      <c r="F13" s="14">
        <f>57.1-F12</f>
        <v>31.2</v>
      </c>
      <c r="G13" s="16">
        <f>C13/C12-1</f>
        <v>-0.13342025206432</v>
      </c>
      <c r="H13" s="16">
        <f>(E13+F13-C13)/C13</f>
        <v>-0.762788365095286</v>
      </c>
      <c r="I13" s="16">
        <f>AVERAGE(H10:H13)</f>
        <v>-0.822799051697706</v>
      </c>
      <c r="J13" s="16"/>
    </row>
    <row r="14" ht="20.05" customHeight="1">
      <c r="B14" s="29"/>
      <c r="C14" s="21">
        <f>688-SUM(C12:C13)</f>
        <v>258.5</v>
      </c>
      <c r="D14" s="23"/>
      <c r="E14" s="14">
        <f>22+9.2-SUM(E12:E13)</f>
        <v>9.1</v>
      </c>
      <c r="F14" s="14">
        <f>119.2-SUM(F12:F13)</f>
        <v>62.1</v>
      </c>
      <c r="G14" s="16">
        <f>C14/C13-1</f>
        <v>0.296389167502508</v>
      </c>
      <c r="H14" s="16">
        <f>(E14+F14-C14)/C14</f>
        <v>-0.724564796905222</v>
      </c>
      <c r="I14" s="16">
        <f>AVERAGE(H11:H14)</f>
        <v>-0.78511531087605</v>
      </c>
      <c r="J14" s="16"/>
    </row>
    <row r="15" ht="20.05" customHeight="1">
      <c r="B15" s="29"/>
      <c r="C15" s="21">
        <f>900.8-SUM(C12:C14)</f>
        <v>212.8</v>
      </c>
      <c r="D15" s="23"/>
      <c r="E15" s="14">
        <f>27.6+11.6-SUM(E12:E14)</f>
        <v>8</v>
      </c>
      <c r="F15" s="14">
        <f>121-SUM(F12:F14)</f>
        <v>1.8</v>
      </c>
      <c r="G15" s="16">
        <f>C15/C14-1</f>
        <v>-0.17678916827853</v>
      </c>
      <c r="H15" s="16">
        <f>(E15+F15-C15)/C15</f>
        <v>-0.953947368421053</v>
      </c>
      <c r="I15" s="16">
        <f>AVERAGE(H12:H15)</f>
        <v>-0.825666288624512</v>
      </c>
      <c r="J15" s="16"/>
    </row>
    <row r="16" ht="20.05" customHeight="1">
      <c r="B16" s="30">
        <v>2021</v>
      </c>
      <c r="C16" s="21">
        <v>249.6</v>
      </c>
      <c r="D16" s="23"/>
      <c r="E16" s="14">
        <f>5.8+3+0.1</f>
        <v>8.9</v>
      </c>
      <c r="F16" s="14">
        <v>36.7</v>
      </c>
      <c r="G16" s="16">
        <f>C16/C15-1</f>
        <v>0.172932330827068</v>
      </c>
      <c r="H16" s="16">
        <f>(E16+F16-C16)/C16</f>
        <v>-0.817307692307692</v>
      </c>
      <c r="I16" s="16">
        <f>AVERAGE(H13:H16)</f>
        <v>-0.814652055682313</v>
      </c>
      <c r="J16" s="16"/>
    </row>
    <row r="17" ht="20.05" customHeight="1">
      <c r="B17" s="29"/>
      <c r="C17" s="21">
        <f>501.7-C16</f>
        <v>252.1</v>
      </c>
      <c r="D17" s="14">
        <v>262.08</v>
      </c>
      <c r="E17" s="14">
        <f>10.9+5.9+0.4-E16</f>
        <v>8.300000000000001</v>
      </c>
      <c r="F17" s="14">
        <f>72-F16</f>
        <v>35.3</v>
      </c>
      <c r="G17" s="16">
        <f>C17/C16-1</f>
        <v>0.0100160256410256</v>
      </c>
      <c r="H17" s="16">
        <f>(E17+F17-C17)/C17</f>
        <v>-0.827052756842523</v>
      </c>
      <c r="I17" s="16">
        <f>AVERAGE(H14:H17)</f>
        <v>-0.830718153619123</v>
      </c>
      <c r="J17" s="16"/>
    </row>
    <row r="18" ht="20.05" customHeight="1">
      <c r="B18" s="29"/>
      <c r="C18" s="21">
        <f>735.7-SUM(C16:C17)</f>
        <v>234</v>
      </c>
      <c r="D18" s="14">
        <v>254.621</v>
      </c>
      <c r="E18" s="14">
        <f>16.1+8.9-SUM(E16:E17)</f>
        <v>7.8</v>
      </c>
      <c r="F18" s="14">
        <f>104.9-SUM(F16:F17)</f>
        <v>32.9</v>
      </c>
      <c r="G18" s="16">
        <f>C18/C17-1</f>
        <v>-0.0717969059896866</v>
      </c>
      <c r="H18" s="16">
        <f>(E18+F18-C18)/C18</f>
        <v>-0.826068376068376</v>
      </c>
      <c r="I18" s="16">
        <f>AVERAGE(H15:H18)</f>
        <v>-0.856094048409911</v>
      </c>
      <c r="J18" s="16"/>
    </row>
    <row r="19" ht="20.05" customHeight="1">
      <c r="B19" s="29"/>
      <c r="C19" s="21">
        <f>1042.3-C18-C17-C16</f>
        <v>306.6</v>
      </c>
      <c r="D19" s="22">
        <v>248</v>
      </c>
      <c r="E19" s="14">
        <f>33.5-E18-E17-E16</f>
        <v>8.5</v>
      </c>
      <c r="F19" s="14">
        <f>144.7-F18-F17-F16</f>
        <v>39.8</v>
      </c>
      <c r="G19" s="16">
        <f>C19/C18-1</f>
        <v>0.31025641025641</v>
      </c>
      <c r="H19" s="16">
        <f>(E19+F19-C19)/C19</f>
        <v>-0.842465753424658</v>
      </c>
      <c r="I19" s="16">
        <f>AVERAGE(H16:H19)</f>
        <v>-0.828223644660812</v>
      </c>
      <c r="J19" s="16"/>
    </row>
    <row r="20" ht="20.05" customHeight="1">
      <c r="B20" s="30">
        <v>2022</v>
      </c>
      <c r="C20" s="21">
        <v>292.1</v>
      </c>
      <c r="D20" s="14">
        <v>297.402</v>
      </c>
      <c r="E20" s="14">
        <f>8.6</f>
        <v>8.6</v>
      </c>
      <c r="F20" s="14">
        <v>39.9</v>
      </c>
      <c r="G20" s="16">
        <f>C20/C19-1</f>
        <v>-0.0472928897586432</v>
      </c>
      <c r="H20" s="16">
        <f>(E20+F20-C20)/C20</f>
        <v>-0.833960972269771</v>
      </c>
      <c r="I20" s="16">
        <f>AVERAGE(H17:H20)</f>
        <v>-0.832386964651332</v>
      </c>
      <c r="J20" s="16">
        <v>-0.828223644660812</v>
      </c>
    </row>
    <row r="21" ht="20.05" customHeight="1">
      <c r="B21" s="29"/>
      <c r="C21" s="21"/>
      <c r="D21" s="14">
        <f>'Model'!C6</f>
        <v>300.863</v>
      </c>
      <c r="E21" s="14"/>
      <c r="F21" s="14"/>
      <c r="G21" s="12"/>
      <c r="H21" s="12"/>
      <c r="I21" s="16"/>
      <c r="J21" s="16">
        <f>'Model'!C7</f>
        <v>-0.832386964651332</v>
      </c>
    </row>
    <row r="22" ht="20.05" customHeight="1">
      <c r="B22" s="29"/>
      <c r="C22" s="21"/>
      <c r="D22" s="14">
        <f>'Model'!D6</f>
        <v>309.88889</v>
      </c>
      <c r="E22" s="14"/>
      <c r="F22" s="14"/>
      <c r="G22" s="12"/>
      <c r="H22" s="12"/>
      <c r="I22" s="12"/>
      <c r="J22" s="12"/>
    </row>
    <row r="23" ht="20.05" customHeight="1">
      <c r="B23" s="29"/>
      <c r="C23" s="21"/>
      <c r="D23" s="14">
        <f>'Model'!E6</f>
        <v>325.3833345</v>
      </c>
      <c r="E23" s="14">
        <f>SUM(C17:C20)</f>
        <v>1084.8</v>
      </c>
      <c r="F23" s="14">
        <f>SUM(D17:D20)</f>
        <v>1062.103</v>
      </c>
      <c r="G23" s="12"/>
      <c r="H23" s="12"/>
      <c r="I23" s="12"/>
      <c r="J23" s="12"/>
    </row>
    <row r="24" ht="20.05" customHeight="1">
      <c r="B24" s="30">
        <v>2023</v>
      </c>
      <c r="C24" s="13"/>
      <c r="D24" s="22">
        <f>'Model'!F6</f>
        <v>318.87566781</v>
      </c>
      <c r="E24" s="22"/>
      <c r="F24" s="22"/>
      <c r="G24" s="12"/>
      <c r="H24" s="12"/>
      <c r="I24" s="12"/>
      <c r="J24" s="12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1" customWidth="1"/>
    <col min="2" max="2" width="7.39844" style="31" customWidth="1"/>
    <col min="3" max="15" width="9.29688" style="31" customWidth="1"/>
    <col min="16" max="16384" width="16.3516" style="31" customWidth="1"/>
  </cols>
  <sheetData>
    <row r="1" ht="36.4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45</v>
      </c>
      <c r="D3" t="s" s="5">
        <v>46</v>
      </c>
      <c r="E3" t="s" s="5">
        <v>47</v>
      </c>
      <c r="F3" t="s" s="5">
        <v>48</v>
      </c>
      <c r="G3" t="s" s="5">
        <v>12</v>
      </c>
      <c r="H3" t="s" s="5">
        <v>27</v>
      </c>
      <c r="I3" t="s" s="5">
        <v>11</v>
      </c>
      <c r="J3" t="s" s="5">
        <v>49</v>
      </c>
      <c r="K3" t="s" s="5">
        <v>3</v>
      </c>
      <c r="L3" t="s" s="5">
        <v>36</v>
      </c>
      <c r="M3" t="s" s="5">
        <v>31</v>
      </c>
      <c r="N3" t="s" s="5">
        <v>36</v>
      </c>
      <c r="O3" s="32"/>
    </row>
    <row r="4" ht="20.25" customHeight="1">
      <c r="B4" s="26">
        <v>2018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>
        <v>1</v>
      </c>
    </row>
    <row r="5" ht="20.05" customHeight="1">
      <c r="B5" s="29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>
        <f>1+O4</f>
        <v>2</v>
      </c>
    </row>
    <row r="6" ht="20.05" customHeight="1">
      <c r="B6" s="29"/>
      <c r="C6" s="17"/>
      <c r="D6" s="18"/>
      <c r="E6" s="18"/>
      <c r="F6" s="18"/>
      <c r="G6" s="18"/>
      <c r="H6" s="18"/>
      <c r="I6" s="18"/>
      <c r="J6" s="18"/>
      <c r="K6" s="18"/>
      <c r="L6" s="18"/>
      <c r="M6" s="18">
        <v>198.8</v>
      </c>
      <c r="N6" s="18"/>
      <c r="O6" s="18">
        <f>1+O5</f>
        <v>3</v>
      </c>
    </row>
    <row r="7" ht="20.05" customHeight="1">
      <c r="B7" s="29"/>
      <c r="C7" s="17">
        <f>847-SUM(C4:C6)</f>
        <v>847</v>
      </c>
      <c r="D7" s="18">
        <f>35.2-SUM(D4:D6)</f>
        <v>35.2</v>
      </c>
      <c r="E7" s="18">
        <f>-6.3-SUM(E4:E6)</f>
        <v>-6.3</v>
      </c>
      <c r="F7" s="18"/>
      <c r="G7" s="18"/>
      <c r="H7" s="18"/>
      <c r="I7" s="18">
        <f>-31.4-SUM(I4:I6)</f>
        <v>-31.4</v>
      </c>
      <c r="J7" s="18">
        <f>SUM(D7:F7)</f>
        <v>28.9</v>
      </c>
      <c r="K7" s="18"/>
      <c r="L7" s="18"/>
      <c r="M7" s="18">
        <f>-I7+M6</f>
        <v>230.2</v>
      </c>
      <c r="N7" s="18"/>
      <c r="O7" s="18">
        <f>1+O6</f>
        <v>4</v>
      </c>
    </row>
    <row r="8" ht="20.05" customHeight="1">
      <c r="B8" s="30">
        <v>2019</v>
      </c>
      <c r="C8" s="17">
        <v>222.7</v>
      </c>
      <c r="D8" s="18">
        <v>74.09999999999999</v>
      </c>
      <c r="E8" s="18">
        <v>20.6</v>
      </c>
      <c r="F8" s="18">
        <v>-0.013</v>
      </c>
      <c r="G8" s="18"/>
      <c r="H8" s="18"/>
      <c r="I8" s="18">
        <v>-64.90000000000001</v>
      </c>
      <c r="J8" s="18">
        <f>SUM(D8:F8)</f>
        <v>94.687</v>
      </c>
      <c r="K8" s="18">
        <f>AVERAGE(J7:J8)</f>
        <v>61.7935</v>
      </c>
      <c r="L8" s="18"/>
      <c r="M8" s="18">
        <f>-(I8-F8)+M7</f>
        <v>295.087</v>
      </c>
      <c r="N8" s="18"/>
      <c r="O8" s="18">
        <f>1+O7</f>
        <v>5</v>
      </c>
    </row>
    <row r="9" ht="20.05" customHeight="1">
      <c r="B9" s="29"/>
      <c r="C9" s="17">
        <f>489.7-C8</f>
        <v>267</v>
      </c>
      <c r="D9" s="18">
        <f>121.6-D8</f>
        <v>47.5</v>
      </c>
      <c r="E9" s="18">
        <f>-3.8-E8</f>
        <v>-24.4</v>
      </c>
      <c r="F9" s="18">
        <f>-0.054-F8</f>
        <v>-0.041</v>
      </c>
      <c r="G9" s="18"/>
      <c r="H9" s="18"/>
      <c r="I9" s="18">
        <f>-89-I8</f>
        <v>-24.1</v>
      </c>
      <c r="J9" s="18">
        <f>SUM(D9:F9)</f>
        <v>23.059</v>
      </c>
      <c r="K9" s="18">
        <f>AVERAGE(J8:J9)</f>
        <v>58.873</v>
      </c>
      <c r="L9" s="18"/>
      <c r="M9" s="18">
        <f>-(I9-F9)+M8</f>
        <v>319.146</v>
      </c>
      <c r="N9" s="18"/>
      <c r="O9" s="18">
        <f>1+O8</f>
        <v>6</v>
      </c>
    </row>
    <row r="10" ht="20.05" customHeight="1">
      <c r="B10" s="29"/>
      <c r="C10" s="17">
        <f>715.39-SUM(C8:C9)</f>
        <v>225.69</v>
      </c>
      <c r="D10" s="18">
        <f>161.39-SUM(D8:D9)</f>
        <v>39.79</v>
      </c>
      <c r="E10" s="18">
        <f>-8.88-SUM(E8:E9)</f>
        <v>-5.08</v>
      </c>
      <c r="F10" s="18">
        <f>-0.101-SUM(F8:F9)</f>
        <v>-0.047</v>
      </c>
      <c r="G10" s="18"/>
      <c r="H10" s="18"/>
      <c r="I10" s="18">
        <f>-109.43-SUM(I8:I9)</f>
        <v>-20.43</v>
      </c>
      <c r="J10" s="18">
        <f>SUM(D10:F10)</f>
        <v>34.663</v>
      </c>
      <c r="K10" s="18">
        <f>AVERAGE(J7:J10)</f>
        <v>45.32725</v>
      </c>
      <c r="L10" s="18"/>
      <c r="M10" s="18">
        <f>-(I10-F10)+M9</f>
        <v>339.529</v>
      </c>
      <c r="N10" s="18"/>
      <c r="O10" s="18">
        <f>1+O9</f>
        <v>7</v>
      </c>
    </row>
    <row r="11" ht="20.05" customHeight="1">
      <c r="B11" s="29"/>
      <c r="C11" s="17">
        <f>966.3-SUM(C8:C10)</f>
        <v>250.91</v>
      </c>
      <c r="D11" s="18">
        <f>201.2-SUM(D8:D10)</f>
        <v>39.81</v>
      </c>
      <c r="E11" s="18">
        <f>3.1-SUM(E8:E10)</f>
        <v>11.98</v>
      </c>
      <c r="F11" s="18">
        <f>-0.137-SUM(F8:F10)</f>
        <v>-0.036</v>
      </c>
      <c r="G11" s="18"/>
      <c r="H11" s="18"/>
      <c r="I11" s="18">
        <f>-38.5-SUM(I8:I10)</f>
        <v>70.93000000000001</v>
      </c>
      <c r="J11" s="18">
        <f>SUM(D11:F11)</f>
        <v>51.754</v>
      </c>
      <c r="K11" s="18">
        <f>AVERAGE(J8:J11)</f>
        <v>51.04075</v>
      </c>
      <c r="L11" s="18"/>
      <c r="M11" s="18">
        <f>-(I11-F11)+M10</f>
        <v>268.563</v>
      </c>
      <c r="N11" s="18"/>
      <c r="O11" s="18">
        <f>1+O10</f>
        <v>8</v>
      </c>
    </row>
    <row r="12" ht="20.05" customHeight="1">
      <c r="B12" s="30">
        <v>2020</v>
      </c>
      <c r="C12" s="17">
        <v>251.7</v>
      </c>
      <c r="D12" s="18">
        <v>39.9</v>
      </c>
      <c r="E12" s="18">
        <v>-1.2</v>
      </c>
      <c r="F12" s="18">
        <f>-0.025</f>
        <v>-0.025</v>
      </c>
      <c r="G12" s="18"/>
      <c r="H12" s="18"/>
      <c r="I12" s="18">
        <v>-49.7</v>
      </c>
      <c r="J12" s="18">
        <f>SUM(D12:F12)</f>
        <v>38.675</v>
      </c>
      <c r="K12" s="18">
        <f>AVERAGE(J9:J12)</f>
        <v>37.03775</v>
      </c>
      <c r="L12" s="18"/>
      <c r="M12" s="18">
        <f>-(I12-F12)+M11</f>
        <v>318.238</v>
      </c>
      <c r="N12" s="18"/>
      <c r="O12" s="18">
        <f>1+O11</f>
        <v>9</v>
      </c>
    </row>
    <row r="13" ht="20.05" customHeight="1">
      <c r="B13" s="29"/>
      <c r="C13" s="17">
        <f>435.1-C12</f>
        <v>183.4</v>
      </c>
      <c r="D13" s="18">
        <f>94.1-D12</f>
        <v>54.2</v>
      </c>
      <c r="E13" s="18">
        <f>-2-E12</f>
        <v>-0.8</v>
      </c>
      <c r="F13" s="18">
        <f>-5.755-0.06-F12</f>
        <v>-5.79</v>
      </c>
      <c r="G13" s="18"/>
      <c r="H13" s="18"/>
      <c r="I13" s="18">
        <f>-55.8-I12</f>
        <v>-6.1</v>
      </c>
      <c r="J13" s="18">
        <f>SUM(D13:F13)</f>
        <v>47.61</v>
      </c>
      <c r="K13" s="18">
        <f>AVERAGE(J10:J13)</f>
        <v>43.1755</v>
      </c>
      <c r="L13" s="18"/>
      <c r="M13" s="18">
        <f>-(I13-F13)+M12</f>
        <v>318.548</v>
      </c>
      <c r="N13" s="18"/>
      <c r="O13" s="18">
        <f>1+O12</f>
        <v>10</v>
      </c>
    </row>
    <row r="14" ht="20.05" customHeight="1">
      <c r="B14" s="29"/>
      <c r="C14" s="17">
        <f>708.22-SUM(C12:C13)</f>
        <v>273.12</v>
      </c>
      <c r="D14" s="18">
        <f>195-SUM(D12:D13)</f>
        <v>100.9</v>
      </c>
      <c r="E14" s="18">
        <f>-4.68-SUM(E12:E13)</f>
        <v>-2.68</v>
      </c>
      <c r="F14" s="18">
        <f>-8.753-0.079-SUM(F12:F13)</f>
        <v>-3.017</v>
      </c>
      <c r="G14" s="18"/>
      <c r="H14" s="18"/>
      <c r="I14" s="18">
        <f>-178.84-SUM(I12:I13)</f>
        <v>-123.04</v>
      </c>
      <c r="J14" s="18">
        <f>SUM(D14:F14)</f>
        <v>95.203</v>
      </c>
      <c r="K14" s="18">
        <f>AVERAGE(J11:J14)</f>
        <v>58.3105</v>
      </c>
      <c r="L14" s="18"/>
      <c r="M14" s="18">
        <f>-(I14-F14)+M13</f>
        <v>438.571</v>
      </c>
      <c r="N14" s="18"/>
      <c r="O14" s="18">
        <f>1+O13</f>
        <v>11</v>
      </c>
    </row>
    <row r="15" ht="20.05" customHeight="1">
      <c r="B15" s="29"/>
      <c r="C15" s="17">
        <f>919.47-SUM(C12:C14)</f>
        <v>211.25</v>
      </c>
      <c r="D15" s="18">
        <f>212.5-SUM(D12:D14)</f>
        <v>17.5</v>
      </c>
      <c r="E15" s="18">
        <f>-3.9-SUM(E12:E14)</f>
        <v>0.78</v>
      </c>
      <c r="F15" s="18">
        <f>-11-0.2-SUM(F12:F14)</f>
        <v>-2.368</v>
      </c>
      <c r="G15" s="18"/>
      <c r="H15" s="18"/>
      <c r="I15" s="18">
        <f>-182-SUM(I12:I14)</f>
        <v>-3.16</v>
      </c>
      <c r="J15" s="18">
        <f>SUM(D15:F15)</f>
        <v>15.912</v>
      </c>
      <c r="K15" s="18">
        <f>AVERAGE(J12:J15)</f>
        <v>49.35</v>
      </c>
      <c r="L15" s="18"/>
      <c r="M15" s="18">
        <f>-(G15+H15)+M14</f>
        <v>438.571</v>
      </c>
      <c r="N15" s="18"/>
      <c r="O15" s="18">
        <f>1+O14</f>
        <v>12</v>
      </c>
    </row>
    <row r="16" ht="20.05" customHeight="1">
      <c r="B16" s="30">
        <v>2021</v>
      </c>
      <c r="C16" s="17">
        <v>293.5</v>
      </c>
      <c r="D16" s="18">
        <v>41.69</v>
      </c>
      <c r="E16" s="18">
        <v>-4.1</v>
      </c>
      <c r="F16" s="18">
        <v>-0.039</v>
      </c>
      <c r="G16" s="18"/>
      <c r="H16" s="18"/>
      <c r="I16" s="18">
        <v>-4.9</v>
      </c>
      <c r="J16" s="18">
        <f>SUM(D16:F16)</f>
        <v>37.551</v>
      </c>
      <c r="K16" s="18">
        <f>AVERAGE(J13:J16)</f>
        <v>49.069</v>
      </c>
      <c r="L16" s="18"/>
      <c r="M16" s="18">
        <f>-(G16+H16)+M15</f>
        <v>438.571</v>
      </c>
      <c r="N16" s="18"/>
      <c r="O16" s="18">
        <f>1+O15</f>
        <v>13</v>
      </c>
    </row>
    <row r="17" ht="20.05" customHeight="1">
      <c r="B17" s="29"/>
      <c r="C17" s="17">
        <f>617-C16</f>
        <v>323.5</v>
      </c>
      <c r="D17" s="18">
        <f>100.9-D16</f>
        <v>59.21</v>
      </c>
      <c r="E17" s="18">
        <f>-1.5-E16</f>
        <v>2.6</v>
      </c>
      <c r="F17" s="18">
        <f>-6.1-0.1-F16</f>
        <v>-6.161</v>
      </c>
      <c r="G17" s="18"/>
      <c r="H17" s="18"/>
      <c r="I17" s="18">
        <f>-7.1-I16</f>
        <v>-2.2</v>
      </c>
      <c r="J17" s="18">
        <f>SUM(D17:F17)</f>
        <v>55.649</v>
      </c>
      <c r="K17" s="18">
        <f>AVERAGE(J14:J17)</f>
        <v>51.07875</v>
      </c>
      <c r="L17" s="18"/>
      <c r="M17" s="18">
        <f>-(G17+H17)+M16</f>
        <v>438.571</v>
      </c>
      <c r="N17" s="18"/>
      <c r="O17" s="18">
        <f>1+O16</f>
        <v>14</v>
      </c>
    </row>
    <row r="18" ht="20.05" customHeight="1">
      <c r="B18" s="29"/>
      <c r="C18" s="17">
        <f>913.3-SUM(C16:C17)</f>
        <v>296.3</v>
      </c>
      <c r="D18" s="18">
        <f>118.5-SUM(D16:D17)</f>
        <v>17.6</v>
      </c>
      <c r="E18" s="18">
        <f>-108-SUM(E16:E17)</f>
        <v>-106.5</v>
      </c>
      <c r="F18" s="18">
        <f>-10.2-0.1-SUM(F16:F17)</f>
        <v>-4.1</v>
      </c>
      <c r="G18" s="18"/>
      <c r="H18" s="18"/>
      <c r="I18" s="18">
        <f>-11.7-SUM(I16:I17)</f>
        <v>-4.6</v>
      </c>
      <c r="J18" s="18">
        <f>SUM(D18:F18)</f>
        <v>-93</v>
      </c>
      <c r="K18" s="18">
        <f>AVERAGE(J15:J18)</f>
        <v>4.028</v>
      </c>
      <c r="L18" s="18"/>
      <c r="M18" s="18">
        <f>-(G18+H18)+M17</f>
        <v>438.571</v>
      </c>
      <c r="N18" s="18"/>
      <c r="O18" s="18">
        <f>1+O17</f>
        <v>15</v>
      </c>
    </row>
    <row r="19" ht="20.05" customHeight="1">
      <c r="B19" s="29"/>
      <c r="C19" s="17">
        <f>1030.8-C18-C17-C16</f>
        <v>117.5</v>
      </c>
      <c r="D19" s="18">
        <f>97.9-D18-D17-D16</f>
        <v>-20.6</v>
      </c>
      <c r="E19" s="18">
        <f>-136-E18-E17-E16</f>
        <v>-28</v>
      </c>
      <c r="F19" s="18">
        <f>-17.8-F18-F17-F16</f>
        <v>-7.5</v>
      </c>
      <c r="G19" s="18"/>
      <c r="H19" s="18"/>
      <c r="I19" s="18">
        <f>-17.8-I18-I17-I16</f>
        <v>-6.1</v>
      </c>
      <c r="J19" s="18">
        <f>SUM(D19:F19)</f>
        <v>-56.1</v>
      </c>
      <c r="K19" s="18">
        <f>AVERAGE(J16:J19)</f>
        <v>-13.975</v>
      </c>
      <c r="L19" s="23"/>
      <c r="M19" s="18">
        <f>-(G19+H19)+M18</f>
        <v>438.571</v>
      </c>
      <c r="N19" s="23"/>
      <c r="O19" s="18">
        <f>1+O18</f>
        <v>16</v>
      </c>
    </row>
    <row r="20" ht="20.05" customHeight="1">
      <c r="B20" s="30">
        <v>2022</v>
      </c>
      <c r="C20" s="17">
        <v>303.9</v>
      </c>
      <c r="D20" s="18">
        <v>42.1</v>
      </c>
      <c r="E20" s="18">
        <v>-20</v>
      </c>
      <c r="F20" s="18">
        <v>-3.1</v>
      </c>
      <c r="G20" s="18">
        <v>0</v>
      </c>
      <c r="H20" s="18">
        <v>0</v>
      </c>
      <c r="I20" s="18">
        <v>-3.1</v>
      </c>
      <c r="J20" s="18">
        <f>SUM(D20:F20)</f>
        <v>19</v>
      </c>
      <c r="K20" s="18">
        <f>AVERAGE(J17:J20)</f>
        <v>-18.61275</v>
      </c>
      <c r="L20" s="18">
        <v>41.1540312050653</v>
      </c>
      <c r="M20" s="18">
        <f>-(G20+H20)+M19</f>
        <v>438.571</v>
      </c>
      <c r="N20" s="18">
        <v>575.1989370967621</v>
      </c>
      <c r="O20" s="18">
        <f>1+O19</f>
        <v>17</v>
      </c>
    </row>
    <row r="21" ht="20.05" customHeight="1">
      <c r="B21" s="29"/>
      <c r="C21" s="17"/>
      <c r="D21" s="18"/>
      <c r="E21" s="18"/>
      <c r="F21" s="18"/>
      <c r="G21" s="18"/>
      <c r="H21" s="18"/>
      <c r="I21" s="18"/>
      <c r="J21" s="18"/>
      <c r="K21" s="23"/>
      <c r="L21" s="18">
        <f>SUM('Model'!F9:F11)</f>
        <v>32.4143852471347</v>
      </c>
      <c r="M21" s="23"/>
      <c r="N21" s="18">
        <f>'Model'!F34</f>
        <v>567.543211277860</v>
      </c>
      <c r="O21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8.58594" style="35" customWidth="1"/>
    <col min="3" max="11" width="9.39062" style="35" customWidth="1"/>
    <col min="12" max="16384" width="16.3516" style="35" customWidth="1"/>
  </cols>
  <sheetData>
    <row r="1" ht="35.7" customHeight="1"/>
    <row r="2" ht="27.65" customHeight="1">
      <c r="B2" t="s" s="2">
        <v>50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51</v>
      </c>
      <c r="C3" t="s" s="5">
        <v>52</v>
      </c>
      <c r="D3" t="s" s="5">
        <v>50</v>
      </c>
      <c r="E3" t="s" s="5">
        <v>53</v>
      </c>
      <c r="F3" t="s" s="5">
        <v>25</v>
      </c>
      <c r="G3" t="s" s="5">
        <v>12</v>
      </c>
      <c r="H3" t="s" s="5">
        <v>27</v>
      </c>
      <c r="I3" t="s" s="5">
        <v>28</v>
      </c>
      <c r="J3" t="s" s="5">
        <v>54</v>
      </c>
      <c r="K3" t="s" s="5">
        <v>36</v>
      </c>
    </row>
    <row r="4" ht="20.25" customHeight="1">
      <c r="B4" s="26">
        <v>2019</v>
      </c>
      <c r="C4" s="33"/>
      <c r="D4" s="34"/>
      <c r="E4" s="36"/>
      <c r="F4" s="34"/>
      <c r="G4" s="34"/>
      <c r="H4" s="34"/>
      <c r="I4" s="34"/>
      <c r="J4" s="36"/>
      <c r="K4" s="34"/>
    </row>
    <row r="5" ht="20.05" customHeight="1">
      <c r="B5" s="29"/>
      <c r="C5" s="37"/>
      <c r="D5" s="38"/>
      <c r="E5" s="38"/>
      <c r="F5" s="38"/>
      <c r="G5" s="38"/>
      <c r="H5" s="38"/>
      <c r="I5" s="38"/>
      <c r="J5" s="38"/>
      <c r="K5" s="38"/>
    </row>
    <row r="6" ht="20.05" customHeight="1">
      <c r="B6" s="29"/>
      <c r="C6" s="17"/>
      <c r="D6" s="18"/>
      <c r="E6" s="38"/>
      <c r="F6" s="18"/>
      <c r="G6" s="18"/>
      <c r="H6" s="18"/>
      <c r="I6" s="18"/>
      <c r="J6" s="38"/>
      <c r="K6" s="38"/>
    </row>
    <row r="7" ht="20.05" customHeight="1">
      <c r="B7" s="29"/>
      <c r="C7" s="17">
        <v>189</v>
      </c>
      <c r="D7" s="18">
        <v>666</v>
      </c>
      <c r="E7" s="18">
        <f>D7-C7</f>
        <v>477</v>
      </c>
      <c r="F7" s="18">
        <f>124</f>
        <v>124</v>
      </c>
      <c r="G7" s="18">
        <v>230</v>
      </c>
      <c r="H7" s="18">
        <v>436</v>
      </c>
      <c r="I7" s="18">
        <f>G7+H7-C7-E7</f>
        <v>0</v>
      </c>
      <c r="J7" s="18">
        <f>C7-G7</f>
        <v>-41</v>
      </c>
      <c r="K7" s="38"/>
    </row>
    <row r="8" ht="20.05" customHeight="1">
      <c r="B8" s="30">
        <v>2020</v>
      </c>
      <c r="C8" s="17">
        <v>178</v>
      </c>
      <c r="D8" s="18">
        <v>628</v>
      </c>
      <c r="E8" s="18">
        <f>D8-C8</f>
        <v>450</v>
      </c>
      <c r="F8" s="18">
        <v>129</v>
      </c>
      <c r="G8" s="18">
        <v>167</v>
      </c>
      <c r="H8" s="18">
        <v>461</v>
      </c>
      <c r="I8" s="18">
        <f>G8+H8-C8-E8</f>
        <v>0</v>
      </c>
      <c r="J8" s="18">
        <f>C8-G8</f>
        <v>11</v>
      </c>
      <c r="K8" s="38"/>
    </row>
    <row r="9" ht="20.05" customHeight="1">
      <c r="B9" s="29"/>
      <c r="C9" s="17">
        <v>225</v>
      </c>
      <c r="D9" s="18">
        <v>654</v>
      </c>
      <c r="E9" s="18">
        <f>D9-C9</f>
        <v>429</v>
      </c>
      <c r="F9" s="18">
        <f>132+18</f>
        <v>150</v>
      </c>
      <c r="G9" s="18">
        <v>163</v>
      </c>
      <c r="H9" s="18">
        <v>491</v>
      </c>
      <c r="I9" s="18">
        <f>G9+H9-C9-E9</f>
        <v>0</v>
      </c>
      <c r="J9" s="18">
        <f>C9-G9</f>
        <v>62</v>
      </c>
      <c r="K9" s="38"/>
    </row>
    <row r="10" ht="20.05" customHeight="1">
      <c r="B10" s="29"/>
      <c r="C10" s="17">
        <v>200</v>
      </c>
      <c r="D10" s="18">
        <v>615</v>
      </c>
      <c r="E10" s="18">
        <f>D10-C10</f>
        <v>415</v>
      </c>
      <c r="F10" s="38">
        <f>138+21</f>
        <v>159</v>
      </c>
      <c r="G10" s="18">
        <v>183</v>
      </c>
      <c r="H10" s="18">
        <v>432</v>
      </c>
      <c r="I10" s="18">
        <f>G10+H10-C10-E10</f>
        <v>0</v>
      </c>
      <c r="J10" s="18">
        <f>C10-G10</f>
        <v>17</v>
      </c>
      <c r="K10" s="38"/>
    </row>
    <row r="11" ht="20.05" customHeight="1">
      <c r="B11" s="29"/>
      <c r="C11" s="17">
        <v>215.47</v>
      </c>
      <c r="D11" s="38">
        <v>674.5599999999999</v>
      </c>
      <c r="E11" s="18">
        <f>D11-C11</f>
        <v>459.09</v>
      </c>
      <c r="F11" s="38">
        <f>142+24</f>
        <v>166</v>
      </c>
      <c r="G11" s="18">
        <v>233.5</v>
      </c>
      <c r="H11" s="18">
        <v>440.9</v>
      </c>
      <c r="I11" s="18">
        <f>G11+H11-C11-E11</f>
        <v>-0.16</v>
      </c>
      <c r="J11" s="18">
        <f>C11-G11</f>
        <v>-18.03</v>
      </c>
      <c r="K11" s="38"/>
    </row>
    <row r="12" ht="20.05" customHeight="1">
      <c r="B12" s="30">
        <v>2021</v>
      </c>
      <c r="C12" s="17">
        <v>248</v>
      </c>
      <c r="D12" s="38">
        <v>703</v>
      </c>
      <c r="E12" s="18">
        <f>D12-C12</f>
        <v>455</v>
      </c>
      <c r="F12" s="38">
        <f>27+148</f>
        <v>175</v>
      </c>
      <c r="G12" s="18">
        <v>225</v>
      </c>
      <c r="H12" s="18">
        <v>478</v>
      </c>
      <c r="I12" s="18">
        <f>G12+H12-C12-E12</f>
        <v>0</v>
      </c>
      <c r="J12" s="18">
        <f>C12-G12</f>
        <v>23</v>
      </c>
      <c r="K12" s="18"/>
    </row>
    <row r="13" ht="20.05" customHeight="1">
      <c r="B13" s="29"/>
      <c r="C13" s="17">
        <v>308</v>
      </c>
      <c r="D13" s="38">
        <v>703</v>
      </c>
      <c r="E13" s="18">
        <f>D13-C13</f>
        <v>395</v>
      </c>
      <c r="F13" s="38">
        <f>30+140</f>
        <v>170</v>
      </c>
      <c r="G13" s="18">
        <v>190</v>
      </c>
      <c r="H13" s="18">
        <v>513</v>
      </c>
      <c r="I13" s="18">
        <f>G13+H13-C13-E13</f>
        <v>0</v>
      </c>
      <c r="J13" s="18">
        <f>C13-G13</f>
        <v>118</v>
      </c>
      <c r="K13" s="38"/>
    </row>
    <row r="14" ht="20.05" customHeight="1">
      <c r="B14" s="29"/>
      <c r="C14" s="17">
        <v>214</v>
      </c>
      <c r="D14" s="38">
        <v>758</v>
      </c>
      <c r="E14" s="18">
        <f>D14-C14</f>
        <v>544</v>
      </c>
      <c r="F14" s="38">
        <f>145+33</f>
        <v>178</v>
      </c>
      <c r="G14" s="18">
        <v>212</v>
      </c>
      <c r="H14" s="18">
        <v>546</v>
      </c>
      <c r="I14" s="18">
        <f>G14+H14-C14-E14</f>
        <v>0</v>
      </c>
      <c r="J14" s="18">
        <f>C14-G14</f>
        <v>2</v>
      </c>
      <c r="K14" s="38"/>
    </row>
    <row r="15" ht="20.05" customHeight="1">
      <c r="B15" s="29"/>
      <c r="C15" s="17">
        <v>159.5</v>
      </c>
      <c r="D15" s="38">
        <v>767.7</v>
      </c>
      <c r="E15" s="18">
        <f>D15-C15</f>
        <v>608.2</v>
      </c>
      <c r="F15" s="38">
        <v>158</v>
      </c>
      <c r="G15" s="18">
        <v>181.9</v>
      </c>
      <c r="H15" s="18">
        <f>D15-G15</f>
        <v>585.8</v>
      </c>
      <c r="I15" s="18">
        <f>G15+H15-C15-E15</f>
        <v>0</v>
      </c>
      <c r="J15" s="18">
        <f>C15-G15</f>
        <v>-22.4</v>
      </c>
      <c r="K15" s="38"/>
    </row>
    <row r="16" ht="20.05" customHeight="1">
      <c r="B16" s="30">
        <v>2022</v>
      </c>
      <c r="C16" s="17">
        <v>178</v>
      </c>
      <c r="D16" s="38">
        <v>847</v>
      </c>
      <c r="E16" s="18">
        <f>D16-C16</f>
        <v>669</v>
      </c>
      <c r="F16" s="38">
        <v>167</v>
      </c>
      <c r="G16" s="18">
        <v>221</v>
      </c>
      <c r="H16" s="18">
        <v>626</v>
      </c>
      <c r="I16" s="18">
        <f>G16+H16-C16-E16</f>
        <v>0</v>
      </c>
      <c r="J16" s="18">
        <f>C16-G16</f>
        <v>-43</v>
      </c>
      <c r="K16" s="38">
        <v>26.510076940279</v>
      </c>
    </row>
    <row r="17" ht="20.05" customHeight="1">
      <c r="B17" s="29"/>
      <c r="C17" s="17"/>
      <c r="D17" s="38"/>
      <c r="E17" s="18"/>
      <c r="F17" s="38"/>
      <c r="G17" s="18"/>
      <c r="H17" s="18"/>
      <c r="I17" s="18"/>
      <c r="J17" s="18"/>
      <c r="K17" s="18">
        <f>'Model'!F32</f>
        <v>-0.621907472140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3984" style="39" customWidth="1"/>
    <col min="2" max="2" width="11.0547" style="39" customWidth="1"/>
    <col min="3" max="5" width="9.13281" style="39" customWidth="1"/>
    <col min="6" max="16384" width="16.3516" style="39" customWidth="1"/>
  </cols>
  <sheetData>
    <row r="1" ht="11.5" customHeight="1"/>
    <row r="2" ht="27.65" customHeight="1">
      <c r="B2" t="s" s="2">
        <v>55</v>
      </c>
      <c r="C2" s="2"/>
      <c r="D2" s="2"/>
      <c r="E2" s="2"/>
    </row>
    <row r="3" ht="20.25" customHeight="1">
      <c r="B3" s="4"/>
      <c r="C3" t="s" s="5">
        <v>56</v>
      </c>
      <c r="D3" t="s" s="40">
        <v>39</v>
      </c>
      <c r="E3" s="4"/>
    </row>
    <row r="4" ht="20.25" customHeight="1">
      <c r="B4" s="41"/>
      <c r="C4" s="42">
        <v>940</v>
      </c>
      <c r="D4" s="8"/>
      <c r="E4" s="8"/>
    </row>
    <row r="5" ht="20.05" customHeight="1">
      <c r="B5" s="30">
        <v>2020</v>
      </c>
      <c r="C5" s="43">
        <v>755</v>
      </c>
      <c r="D5" s="23"/>
      <c r="E5" s="23"/>
    </row>
    <row r="6" ht="20.05" customHeight="1">
      <c r="B6" s="29"/>
      <c r="C6" s="43">
        <v>880</v>
      </c>
      <c r="D6" s="23"/>
      <c r="E6" s="23"/>
    </row>
    <row r="7" ht="20.05" customHeight="1">
      <c r="B7" s="29"/>
      <c r="C7" s="44">
        <v>1255</v>
      </c>
      <c r="D7" s="23"/>
      <c r="E7" s="23"/>
    </row>
    <row r="8" ht="20.05" customHeight="1">
      <c r="B8" s="29"/>
      <c r="C8" s="44">
        <v>1355</v>
      </c>
      <c r="D8" s="23"/>
      <c r="E8" s="23"/>
    </row>
    <row r="9" ht="20.05" customHeight="1">
      <c r="B9" s="30">
        <v>2021</v>
      </c>
      <c r="C9" s="44">
        <v>1350</v>
      </c>
      <c r="D9" s="23"/>
      <c r="E9" s="23"/>
    </row>
    <row r="10" ht="20.05" customHeight="1">
      <c r="B10" s="29"/>
      <c r="C10" s="44">
        <v>1215</v>
      </c>
      <c r="D10" s="23"/>
      <c r="E10" s="23"/>
    </row>
    <row r="11" ht="20.05" customHeight="1">
      <c r="B11" s="29"/>
      <c r="C11" s="44">
        <v>1210</v>
      </c>
      <c r="D11" s="23"/>
      <c r="E11" s="23"/>
    </row>
    <row r="12" ht="20.05" customHeight="1">
      <c r="B12" s="29"/>
      <c r="C12" s="44">
        <v>1185</v>
      </c>
      <c r="D12" s="23"/>
      <c r="E12" s="23"/>
    </row>
    <row r="13" ht="20.05" customHeight="1">
      <c r="B13" s="30">
        <v>2022</v>
      </c>
      <c r="C13" s="44">
        <v>1190</v>
      </c>
      <c r="D13" s="18">
        <v>1562.258012744890</v>
      </c>
      <c r="E13" s="23"/>
    </row>
    <row r="14" ht="20.05" customHeight="1">
      <c r="B14" s="29"/>
      <c r="C14" s="44">
        <v>1250</v>
      </c>
      <c r="D14" s="18">
        <v>1517.967009120410</v>
      </c>
      <c r="E14" s="23"/>
    </row>
    <row r="15" ht="20.05" customHeight="1">
      <c r="B15" s="29"/>
      <c r="C15" s="44"/>
      <c r="D15" s="18">
        <f>'Model'!F45</f>
        <v>1514.674220668630</v>
      </c>
      <c r="E15" s="23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