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  <sheet name="Capital " sheetId="6" r:id="rId9"/>
  </sheets>
</workbook>
</file>

<file path=xl/sharedStrings.xml><?xml version="1.0" encoding="utf-8"?>
<sst xmlns="http://schemas.openxmlformats.org/spreadsheetml/2006/main" uniqueCount="96">
  <si>
    <t>Financial model</t>
  </si>
  <si>
    <t xml:space="preserve">Rpbn </t>
  </si>
  <si>
    <t>4Q 2022</t>
  </si>
  <si>
    <t>Cashflow</t>
  </si>
  <si>
    <t>Growth</t>
  </si>
  <si>
    <t>Sales</t>
  </si>
  <si>
    <t>Cost ratio</t>
  </si>
  <si>
    <t>Cash costs</t>
  </si>
  <si>
    <t>Operating</t>
  </si>
  <si>
    <t>Investment</t>
  </si>
  <si>
    <t>Finance</t>
  </si>
  <si>
    <t xml:space="preserve">Liabilities </t>
  </si>
  <si>
    <t>Revolver</t>
  </si>
  <si>
    <t xml:space="preserve">Payout </t>
  </si>
  <si>
    <t>Equity</t>
  </si>
  <si>
    <t>Before revolver</t>
  </si>
  <si>
    <t>Beginning</t>
  </si>
  <si>
    <t>Change</t>
  </si>
  <si>
    <t>Ending</t>
  </si>
  <si>
    <t>Profit</t>
  </si>
  <si>
    <t xml:space="preserve">Depreciation </t>
  </si>
  <si>
    <t xml:space="preserve">Associates </t>
  </si>
  <si>
    <t>Net profit</t>
  </si>
  <si>
    <t>Balance sheet</t>
  </si>
  <si>
    <t>Other assets</t>
  </si>
  <si>
    <t>Net other assets</t>
  </si>
  <si>
    <t>Check</t>
  </si>
  <si>
    <t xml:space="preserve">Net cash </t>
  </si>
  <si>
    <t xml:space="preserve">Valuation </t>
  </si>
  <si>
    <t>Capital</t>
  </si>
  <si>
    <t xml:space="preserve">Current value </t>
  </si>
  <si>
    <t>P/assets</t>
  </si>
  <si>
    <t>Yield</t>
  </si>
  <si>
    <t xml:space="preserve">Cashflow </t>
  </si>
  <si>
    <t xml:space="preserve">Payback </t>
  </si>
  <si>
    <t xml:space="preserve">Forecast </t>
  </si>
  <si>
    <t xml:space="preserve">Value </t>
  </si>
  <si>
    <t xml:space="preserve">Shares 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</si>
  <si>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</si>
  <si>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</si>
  <si>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</si>
  <si>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</si>
  <si>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</si>
  <si>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>Profit quarterly</t>
  </si>
  <si>
    <t>Rpbn</t>
  </si>
  <si>
    <t>Associates</t>
  </si>
  <si>
    <t>Gain</t>
  </si>
  <si>
    <t xml:space="preserve">Sales growth </t>
  </si>
  <si>
    <t xml:space="preserve">Cost ratio </t>
  </si>
  <si>
    <t>Receipts</t>
  </si>
  <si>
    <t xml:space="preserve">Operating </t>
  </si>
  <si>
    <t xml:space="preserve">Investment </t>
  </si>
  <si>
    <t>Leases</t>
  </si>
  <si>
    <t xml:space="preserve">Equity </t>
  </si>
  <si>
    <t xml:space="preserve">Finance </t>
  </si>
  <si>
    <t xml:space="preserve">Free cashflow </t>
  </si>
  <si>
    <t xml:space="preserve">Capital </t>
  </si>
  <si>
    <t xml:space="preserve">Cash </t>
  </si>
  <si>
    <t>Assets</t>
  </si>
  <si>
    <t xml:space="preserve">Check </t>
  </si>
  <si>
    <t>Net cash</t>
  </si>
  <si>
    <t>Share price</t>
  </si>
  <si>
    <t>JSMR</t>
  </si>
  <si>
    <t>Target</t>
  </si>
  <si>
    <t xml:space="preserve">Previous </t>
  </si>
  <si>
    <t xml:space="preserve">Total </t>
  </si>
  <si>
    <t>Table 1</t>
  </si>
  <si>
    <t>Market value</t>
  </si>
  <si>
    <t xml:space="preserve">capital history </t>
  </si>
  <si>
    <t xml:space="preserve">Start date </t>
  </si>
  <si>
    <t xml:space="preserve">Number of quarters </t>
  </si>
  <si>
    <t xml:space="preserve">billion rupiah </t>
  </si>
  <si>
    <t>raised</t>
  </si>
  <si>
    <t xml:space="preserve">has </t>
  </si>
  <si>
    <t xml:space="preserve">liabilities </t>
  </si>
  <si>
    <t xml:space="preserve">by an average </t>
  </si>
  <si>
    <t>every year</t>
  </si>
  <si>
    <t>of market value</t>
  </si>
  <si>
    <t xml:space="preserve">In the last 5 years </t>
  </si>
  <si>
    <t>were</t>
  </si>
  <si>
    <t xml:space="preserve">The peak in cumulative liabilities </t>
  </si>
  <si>
    <t xml:space="preserve">was </t>
  </si>
  <si>
    <t xml:space="preserve">in </t>
  </si>
  <si>
    <t xml:space="preserve">As of the latest quarter </t>
  </si>
  <si>
    <t xml:space="preserve">cumulative </t>
  </si>
  <si>
    <t>are</t>
  </si>
  <si>
    <t>up</t>
  </si>
  <si>
    <t>to</t>
  </si>
  <si>
    <t xml:space="preserve">equity </t>
  </si>
  <si>
    <t>was</t>
  </si>
  <si>
    <t xml:space="preserve">The peak in cumulative equity </t>
  </si>
  <si>
    <t>is</t>
  </si>
  <si>
    <t>down</t>
  </si>
  <si>
    <t xml:space="preserve">Total capital </t>
  </si>
  <si>
    <t xml:space="preserve">total capital </t>
  </si>
  <si>
    <t xml:space="preserve">The peak in cumulative total capital 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</si>
</sst>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#,##0%"/>
    <numFmt numFmtId="60" formatCode="#,##0.0"/>
    <numFmt numFmtId="61" formatCode="#,##0%_);[Red]\(#,##0%\)"/>
    <numFmt numFmtId="62" formatCode="[$IDR]0"/>
    <numFmt numFmtId="63" formatCode="mmm d, yyyy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  <font>
      <b val="1"/>
      <sz val="22"/>
      <color indexed="8"/>
      <name val="Helvetica Neue"/>
    </font>
    <font>
      <b val="1"/>
      <sz val="22"/>
      <color indexed="16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0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62" fontId="0" borderId="4" applyNumberFormat="1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63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58049"/>
          <c:y val="0.0446026"/>
          <c:w val="0.802281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 '!$F$3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'!$B$4:$B$20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'Capital '!$F$4:$F$20</c:f>
              <c:numCache>
                <c:ptCount val="17"/>
                <c:pt idx="0">
                  <c:v>136.000000</c:v>
                </c:pt>
                <c:pt idx="1">
                  <c:v>-99.000000</c:v>
                </c:pt>
                <c:pt idx="2">
                  <c:v>-512.000000</c:v>
                </c:pt>
                <c:pt idx="3">
                  <c:v>-171.000000</c:v>
                </c:pt>
                <c:pt idx="4">
                  <c:v>1365.000000</c:v>
                </c:pt>
                <c:pt idx="5">
                  <c:v>2010.000000</c:v>
                </c:pt>
                <c:pt idx="6">
                  <c:v>3530.000000</c:v>
                </c:pt>
                <c:pt idx="7">
                  <c:v>4845.000000</c:v>
                </c:pt>
                <c:pt idx="8">
                  <c:v>6774.000000</c:v>
                </c:pt>
                <c:pt idx="9">
                  <c:v>9060.000000</c:v>
                </c:pt>
                <c:pt idx="10">
                  <c:v>19245.000000</c:v>
                </c:pt>
                <c:pt idx="11">
                  <c:v>30603.000000</c:v>
                </c:pt>
                <c:pt idx="12">
                  <c:v>36061.000000</c:v>
                </c:pt>
                <c:pt idx="13">
                  <c:v>46023.000000</c:v>
                </c:pt>
                <c:pt idx="14">
                  <c:v>67391.000000</c:v>
                </c:pt>
                <c:pt idx="15">
                  <c:v>69841.000000</c:v>
                </c:pt>
                <c:pt idx="16">
                  <c:v>66928.100000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 '!$G$3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'!$B$4:$B$20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'Capital '!$G$4:$G$20</c:f>
              <c:numCache>
                <c:ptCount val="17"/>
                <c:pt idx="0">
                  <c:v>-95.000000</c:v>
                </c:pt>
                <c:pt idx="1">
                  <c:v>3339.000000</c:v>
                </c:pt>
                <c:pt idx="2">
                  <c:v>3285.000000</c:v>
                </c:pt>
                <c:pt idx="3">
                  <c:v>2887.000000</c:v>
                </c:pt>
                <c:pt idx="4">
                  <c:v>2296.000000</c:v>
                </c:pt>
                <c:pt idx="5">
                  <c:v>1857.000000</c:v>
                </c:pt>
                <c:pt idx="6">
                  <c:v>1748.000000</c:v>
                </c:pt>
                <c:pt idx="7">
                  <c:v>2022.000000</c:v>
                </c:pt>
                <c:pt idx="8">
                  <c:v>1670.000000</c:v>
                </c:pt>
                <c:pt idx="9">
                  <c:v>1716.000000</c:v>
                </c:pt>
                <c:pt idx="10">
                  <c:v>3992.000000</c:v>
                </c:pt>
                <c:pt idx="11">
                  <c:v>3819.000000</c:v>
                </c:pt>
                <c:pt idx="12">
                  <c:v>4575.000000</c:v>
                </c:pt>
                <c:pt idx="13">
                  <c:v>5596.000000</c:v>
                </c:pt>
                <c:pt idx="14">
                  <c:v>7226.000000</c:v>
                </c:pt>
                <c:pt idx="15">
                  <c:v>7828.000000</c:v>
                </c:pt>
                <c:pt idx="16">
                  <c:v>7829.400000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 '!$H$3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'!$B$4:$B$20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'Capital '!$H$4:$H$20</c:f>
              <c:numCache>
                <c:ptCount val="17"/>
                <c:pt idx="0">
                  <c:v>41.000000</c:v>
                </c:pt>
                <c:pt idx="1">
                  <c:v>3240.000000</c:v>
                </c:pt>
                <c:pt idx="2">
                  <c:v>2773.000000</c:v>
                </c:pt>
                <c:pt idx="3">
                  <c:v>2716.000000</c:v>
                </c:pt>
                <c:pt idx="4">
                  <c:v>3661.000000</c:v>
                </c:pt>
                <c:pt idx="5">
                  <c:v>3867.000000</c:v>
                </c:pt>
                <c:pt idx="6">
                  <c:v>5278.000000</c:v>
                </c:pt>
                <c:pt idx="7">
                  <c:v>6867.000000</c:v>
                </c:pt>
                <c:pt idx="8">
                  <c:v>8444.000000</c:v>
                </c:pt>
                <c:pt idx="9">
                  <c:v>10776.000000</c:v>
                </c:pt>
                <c:pt idx="10">
                  <c:v>23237.000000</c:v>
                </c:pt>
                <c:pt idx="11">
                  <c:v>34422.000000</c:v>
                </c:pt>
                <c:pt idx="12">
                  <c:v>40636.000000</c:v>
                </c:pt>
                <c:pt idx="13">
                  <c:v>51619.000000</c:v>
                </c:pt>
                <c:pt idx="14">
                  <c:v>74617.000000</c:v>
                </c:pt>
                <c:pt idx="15">
                  <c:v>77669.000000</c:v>
                </c:pt>
                <c:pt idx="16">
                  <c:v>74757.500000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25000"/>
        <c:minorUnit val="12500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247123"/>
          <c:y val="0.0625474"/>
          <c:w val="0.313822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325855</xdr:colOff>
      <xdr:row>1</xdr:row>
      <xdr:rowOff>211013</xdr:rowOff>
    </xdr:from>
    <xdr:to>
      <xdr:col>13</xdr:col>
      <xdr:colOff>994804</xdr:colOff>
      <xdr:row>49</xdr:row>
      <xdr:rowOff>213615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316955" y="920943"/>
          <a:ext cx="9381150" cy="1232668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505252</xdr:colOff>
      <xdr:row>23</xdr:row>
      <xdr:rowOff>96590</xdr:rowOff>
    </xdr:from>
    <xdr:to>
      <xdr:col>5</xdr:col>
      <xdr:colOff>618472</xdr:colOff>
      <xdr:row>32</xdr:row>
      <xdr:rowOff>529850</xdr:rowOff>
    </xdr:to>
    <xdr:graphicFrame>
      <xdr:nvGraphicFramePr>
        <xdr:cNvPr id="4" name="2D Line Chart"/>
        <xdr:cNvGraphicFramePr/>
      </xdr:nvGraphicFramePr>
      <xdr:xfrm>
        <a:off x="822752" y="6004630"/>
        <a:ext cx="3720021" cy="333711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751877</xdr:colOff>
      <xdr:row>20</xdr:row>
      <xdr:rowOff>207973</xdr:rowOff>
    </xdr:from>
    <xdr:to>
      <xdr:col>5</xdr:col>
      <xdr:colOff>549438</xdr:colOff>
      <xdr:row>23</xdr:row>
      <xdr:rowOff>243105</xdr:rowOff>
    </xdr:to>
    <xdr:sp>
      <xdr:nvSpPr>
        <xdr:cNvPr id="5" name="JSMR HAS RAISED 77.7 TRILLION RUPIAH"/>
        <xdr:cNvSpPr txBox="1"/>
      </xdr:nvSpPr>
      <xdr:spPr>
        <a:xfrm>
          <a:off x="1069377" y="5254953"/>
          <a:ext cx="3404361" cy="89619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JSMR HAS RAISED </a:t>
          </a:r>
          <a:r>
            <a:rPr b="1" baseline="0" cap="none" i="0" spc="0" strike="noStrike" sz="22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77.7</a:t>
          </a: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TRILLION RUPIAH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3.8516" style="1" customWidth="1"/>
    <col min="2" max="2" width="15.6172" style="1" customWidth="1"/>
    <col min="3" max="6" width="8.97656" style="1" customWidth="1"/>
    <col min="7" max="16384" width="16.3516" style="1" customWidth="1"/>
  </cols>
  <sheetData>
    <row r="1" ht="55.9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AVERAGE('Sales'!I29:I32)</f>
        <v>0.0477555100287806</v>
      </c>
      <c r="D4" s="8"/>
      <c r="E4" s="8"/>
      <c r="F4" s="9">
        <f>AVERAGE(C5:F5)</f>
        <v>0.0325</v>
      </c>
    </row>
    <row r="5" ht="20.05" customHeight="1">
      <c r="B5" t="s" s="10">
        <v>4</v>
      </c>
      <c r="C5" s="11">
        <v>0.05</v>
      </c>
      <c r="D5" s="12">
        <v>0.05</v>
      </c>
      <c r="E5" s="12">
        <v>0.05</v>
      </c>
      <c r="F5" s="12">
        <v>-0.02</v>
      </c>
    </row>
    <row r="6" ht="20.05" customHeight="1">
      <c r="B6" t="s" s="10">
        <v>5</v>
      </c>
      <c r="C6" s="13">
        <f>'Sales'!C32*(1+C5)</f>
        <v>3355.695</v>
      </c>
      <c r="D6" s="14">
        <f>C6*(1+D5)</f>
        <v>3523.47975</v>
      </c>
      <c r="E6" s="14">
        <f>D6*(1+E5)</f>
        <v>3699.6537375</v>
      </c>
      <c r="F6" s="14">
        <f>E6*(1+F5)</f>
        <v>3625.66066275</v>
      </c>
    </row>
    <row r="7" ht="20.05" customHeight="1">
      <c r="B7" t="s" s="10">
        <v>6</v>
      </c>
      <c r="C7" s="15">
        <f>AVERAGE('Sales'!J32)</f>
        <v>-0.775681341719078</v>
      </c>
      <c r="D7" s="16">
        <f>C7</f>
        <v>-0.775681341719078</v>
      </c>
      <c r="E7" s="16">
        <f>D7</f>
        <v>-0.775681341719078</v>
      </c>
      <c r="F7" s="16">
        <f>E7</f>
        <v>-0.775681341719078</v>
      </c>
    </row>
    <row r="8" ht="20.05" customHeight="1">
      <c r="B8" t="s" s="10">
        <v>7</v>
      </c>
      <c r="C8" s="17">
        <f>C6*C7</f>
        <v>-2602.95</v>
      </c>
      <c r="D8" s="18">
        <f>D6*D7</f>
        <v>-2733.0975</v>
      </c>
      <c r="E8" s="18">
        <f>E6*E7</f>
        <v>-2869.752375</v>
      </c>
      <c r="F8" s="18">
        <f>F6*F7</f>
        <v>-2812.3573275</v>
      </c>
    </row>
    <row r="9" ht="20.05" customHeight="1">
      <c r="B9" t="s" s="10">
        <v>8</v>
      </c>
      <c r="C9" s="17">
        <f>C6+C8</f>
        <v>752.745</v>
      </c>
      <c r="D9" s="18">
        <f>D6+D8</f>
        <v>790.38225</v>
      </c>
      <c r="E9" s="18">
        <f>E6+E8</f>
        <v>829.9013625</v>
      </c>
      <c r="F9" s="18">
        <f>F6+F8</f>
        <v>813.30333525</v>
      </c>
    </row>
    <row r="10" ht="20.05" customHeight="1">
      <c r="B10" t="s" s="10">
        <v>9</v>
      </c>
      <c r="C10" s="17">
        <f>AVERAGE('Cashflow'!E32)</f>
        <v>-493.6</v>
      </c>
      <c r="D10" s="18">
        <f>C10</f>
        <v>-493.6</v>
      </c>
      <c r="E10" s="18">
        <f>D10</f>
        <v>-493.6</v>
      </c>
      <c r="F10" s="18">
        <f>E10</f>
        <v>-493.6</v>
      </c>
    </row>
    <row r="11" ht="20.05" customHeight="1">
      <c r="B11" t="s" s="10">
        <v>10</v>
      </c>
      <c r="C11" s="17">
        <f>C12+C15+C13</f>
        <v>-259.145</v>
      </c>
      <c r="D11" s="18">
        <f>D12+D15+D13</f>
        <v>-296.78225</v>
      </c>
      <c r="E11" s="18">
        <f>E12+E15+E13</f>
        <v>-336.3013625</v>
      </c>
      <c r="F11" s="18">
        <f>F12+F15+F13</f>
        <v>-319.70333525</v>
      </c>
    </row>
    <row r="12" ht="20.05" customHeight="1">
      <c r="B12" t="s" s="10">
        <v>11</v>
      </c>
      <c r="C12" s="17">
        <f>-('Balance sheet'!G32)/20</f>
        <v>-3657.85</v>
      </c>
      <c r="D12" s="18">
        <f>-C28/20</f>
        <v>-3474.9575</v>
      </c>
      <c r="E12" s="18">
        <f>-D28/20</f>
        <v>-3301.209625</v>
      </c>
      <c r="F12" s="18">
        <f>-E28/20</f>
        <v>-3136.14914375</v>
      </c>
    </row>
    <row r="13" ht="20.05" customHeight="1">
      <c r="B13" t="s" s="10">
        <v>12</v>
      </c>
      <c r="C13" s="17">
        <f>-MIN(0,C16)</f>
        <v>3398.705</v>
      </c>
      <c r="D13" s="18">
        <f>-MIN(C29,D16)</f>
        <v>3178.17525</v>
      </c>
      <c r="E13" s="18">
        <f>-MIN(D29,E16)</f>
        <v>2964.9082625</v>
      </c>
      <c r="F13" s="18">
        <f>-MIN(E29,F16)</f>
        <v>2816.4458085</v>
      </c>
    </row>
    <row r="14" ht="20.05" customHeight="1">
      <c r="B14" t="s" s="10">
        <v>13</v>
      </c>
      <c r="C14" s="19">
        <v>0</v>
      </c>
      <c r="D14" s="18"/>
      <c r="E14" s="18"/>
      <c r="F14" s="18"/>
    </row>
    <row r="15" ht="20.05" customHeight="1">
      <c r="B15" t="s" s="10">
        <v>14</v>
      </c>
      <c r="C15" s="17">
        <f>IF(C23&gt;0,-C23*$C$14,0)</f>
        <v>0</v>
      </c>
      <c r="D15" s="18">
        <f>IF(D23&gt;0,-D23*$C$14,0)</f>
        <v>0</v>
      </c>
      <c r="E15" s="18">
        <f>IF(E23&gt;0,-E23*$C$14,0)</f>
        <v>0</v>
      </c>
      <c r="F15" s="18">
        <f>IF(F23&gt;0,-F23*$C$14,0)</f>
        <v>0</v>
      </c>
    </row>
    <row r="16" ht="20.05" customHeight="1">
      <c r="B16" t="s" s="10">
        <v>15</v>
      </c>
      <c r="C16" s="17">
        <f>C9+C10+C12+C15</f>
        <v>-3398.705</v>
      </c>
      <c r="D16" s="18">
        <f>D9+D10+D12+D15</f>
        <v>-3178.17525</v>
      </c>
      <c r="E16" s="18">
        <f>E9+E10+E12+E15</f>
        <v>-2964.9082625</v>
      </c>
      <c r="F16" s="18">
        <f>F9+F10+F12+F15</f>
        <v>-2816.4458085</v>
      </c>
    </row>
    <row r="17" ht="20.05" customHeight="1">
      <c r="B17" t="s" s="10">
        <v>16</v>
      </c>
      <c r="C17" s="17">
        <f>'Balance sheet'!C32</f>
        <v>4482</v>
      </c>
      <c r="D17" s="18">
        <f>C19</f>
        <v>4482</v>
      </c>
      <c r="E17" s="18">
        <f>D19</f>
        <v>4482</v>
      </c>
      <c r="F17" s="18">
        <f>E19</f>
        <v>4482</v>
      </c>
    </row>
    <row r="18" ht="20.05" customHeight="1">
      <c r="B18" t="s" s="10">
        <v>17</v>
      </c>
      <c r="C18" s="17">
        <f>C9+C10+C11</f>
        <v>0</v>
      </c>
      <c r="D18" s="18">
        <f>D9+D10+D11</f>
        <v>0</v>
      </c>
      <c r="E18" s="18">
        <f>E9+E10+E11</f>
        <v>0</v>
      </c>
      <c r="F18" s="18">
        <f>F9+F10+F11</f>
        <v>0</v>
      </c>
    </row>
    <row r="19" ht="20.05" customHeight="1">
      <c r="B19" t="s" s="10">
        <v>18</v>
      </c>
      <c r="C19" s="17">
        <f>C17+C18</f>
        <v>4482</v>
      </c>
      <c r="D19" s="18">
        <f>D17+D18</f>
        <v>4482</v>
      </c>
      <c r="E19" s="18">
        <f>E17+E18</f>
        <v>4482</v>
      </c>
      <c r="F19" s="18">
        <f>F17+F18</f>
        <v>4482</v>
      </c>
    </row>
    <row r="20" ht="20.05" customHeight="1">
      <c r="B20" t="s" s="20">
        <v>19</v>
      </c>
      <c r="C20" s="17"/>
      <c r="D20" s="18"/>
      <c r="E20" s="18"/>
      <c r="F20" s="18"/>
    </row>
    <row r="21" ht="20.05" customHeight="1">
      <c r="B21" t="s" s="10">
        <v>20</v>
      </c>
      <c r="C21" s="17">
        <f>-AVERAGE('Sales'!E32)</f>
        <v>-483.6</v>
      </c>
      <c r="D21" s="18">
        <f>C21</f>
        <v>-483.6</v>
      </c>
      <c r="E21" s="18">
        <f>D21</f>
        <v>-483.6</v>
      </c>
      <c r="F21" s="18">
        <f>E21</f>
        <v>-483.6</v>
      </c>
    </row>
    <row r="22" ht="20.05" customHeight="1">
      <c r="B22" t="s" s="10">
        <v>21</v>
      </c>
      <c r="C22" s="17">
        <f>AVERAGE('Sales'!F31:F32)</f>
        <v>9.85</v>
      </c>
      <c r="D22" s="18">
        <f>C22</f>
        <v>9.85</v>
      </c>
      <c r="E22" s="18">
        <f>D22</f>
        <v>9.85</v>
      </c>
      <c r="F22" s="18">
        <f>E22</f>
        <v>9.85</v>
      </c>
    </row>
    <row r="23" ht="20.05" customHeight="1">
      <c r="B23" t="s" s="10">
        <v>22</v>
      </c>
      <c r="C23" s="17">
        <f>C6+C8+C21+C22</f>
        <v>278.995</v>
      </c>
      <c r="D23" s="18">
        <f>D6+D8+D21+D22</f>
        <v>316.63225</v>
      </c>
      <c r="E23" s="18">
        <f>E6+E8+E21+E22</f>
        <v>356.1513625</v>
      </c>
      <c r="F23" s="18">
        <f>F6+F8+F21+F22</f>
        <v>339.55333525</v>
      </c>
    </row>
    <row r="24" ht="20.05" customHeight="1">
      <c r="B24" t="s" s="20">
        <v>23</v>
      </c>
      <c r="C24" s="17"/>
      <c r="D24" s="18"/>
      <c r="E24" s="18"/>
      <c r="F24" s="18"/>
    </row>
    <row r="25" ht="20.05" customHeight="1">
      <c r="B25" t="s" s="10">
        <v>24</v>
      </c>
      <c r="C25" s="17">
        <f>'Balance sheet'!E32+'Balance sheet'!F32-C10</f>
        <v>108172.6</v>
      </c>
      <c r="D25" s="18">
        <f>C25-D10</f>
        <v>108666.2</v>
      </c>
      <c r="E25" s="18">
        <f>D25-E10</f>
        <v>109159.8</v>
      </c>
      <c r="F25" s="18">
        <f>E25-F10</f>
        <v>109653.4</v>
      </c>
    </row>
    <row r="26" ht="20.05" customHeight="1">
      <c r="B26" t="s" s="10">
        <v>20</v>
      </c>
      <c r="C26" s="17">
        <f>'Balance sheet'!F32-C21-C22</f>
        <v>13774.75</v>
      </c>
      <c r="D26" s="18">
        <f>C26-D21-D22</f>
        <v>14248.5</v>
      </c>
      <c r="E26" s="18">
        <f>D26-E21-E22</f>
        <v>14722.25</v>
      </c>
      <c r="F26" s="18">
        <f>E26-F21-F22</f>
        <v>15196</v>
      </c>
    </row>
    <row r="27" ht="20.05" customHeight="1">
      <c r="B27" t="s" s="10">
        <v>25</v>
      </c>
      <c r="C27" s="17">
        <f>C25-C26</f>
        <v>94397.850000000006</v>
      </c>
      <c r="D27" s="18">
        <f>D25-D26</f>
        <v>94417.7</v>
      </c>
      <c r="E27" s="18">
        <f>E25-E26</f>
        <v>94437.55</v>
      </c>
      <c r="F27" s="18">
        <f>F25-F26</f>
        <v>94457.399999999994</v>
      </c>
    </row>
    <row r="28" ht="20.05" customHeight="1">
      <c r="B28" t="s" s="10">
        <v>11</v>
      </c>
      <c r="C28" s="17">
        <f>'Balance sheet'!G32+C12</f>
        <v>69499.149999999994</v>
      </c>
      <c r="D28" s="18">
        <f>C28+D12</f>
        <v>66024.1925</v>
      </c>
      <c r="E28" s="18">
        <f>D28+E12</f>
        <v>62722.982875</v>
      </c>
      <c r="F28" s="18">
        <f>E28+F12</f>
        <v>59586.83373125</v>
      </c>
    </row>
    <row r="29" ht="20.05" customHeight="1">
      <c r="B29" t="s" s="10">
        <v>12</v>
      </c>
      <c r="C29" s="17">
        <f>C13</f>
        <v>3398.705</v>
      </c>
      <c r="D29" s="18">
        <f>C29+D13</f>
        <v>6576.88025</v>
      </c>
      <c r="E29" s="18">
        <f>D29+E13</f>
        <v>9541.788512499999</v>
      </c>
      <c r="F29" s="18">
        <f>E29+F13</f>
        <v>12358.234321</v>
      </c>
    </row>
    <row r="30" ht="20.05" customHeight="1">
      <c r="B30" t="s" s="10">
        <v>14</v>
      </c>
      <c r="C30" s="17">
        <f>'Balance sheet'!H32+C23+C15</f>
        <v>25981.995</v>
      </c>
      <c r="D30" s="18">
        <f>C30+D23+D15</f>
        <v>26298.62725</v>
      </c>
      <c r="E30" s="18">
        <f>D30+E23+E15</f>
        <v>26654.7786125</v>
      </c>
      <c r="F30" s="18">
        <f>E30+F23+F15</f>
        <v>26994.33194775</v>
      </c>
    </row>
    <row r="31" ht="20.05" customHeight="1">
      <c r="B31" t="s" s="10">
        <v>26</v>
      </c>
      <c r="C31" s="17">
        <f>C28+C29+C30-C19-C27</f>
        <v>0</v>
      </c>
      <c r="D31" s="18">
        <f>D28+D29+D30-D19-D27</f>
        <v>0</v>
      </c>
      <c r="E31" s="18">
        <f>E28+E29+E30-E19-E27</f>
        <v>0</v>
      </c>
      <c r="F31" s="18">
        <f>F28+F29+F30-F19-F27</f>
        <v>0</v>
      </c>
    </row>
    <row r="32" ht="20.05" customHeight="1">
      <c r="B32" t="s" s="10">
        <v>27</v>
      </c>
      <c r="C32" s="17">
        <f>C19-C28-C29</f>
        <v>-68415.855</v>
      </c>
      <c r="D32" s="18">
        <f>D19-D28-D29</f>
        <v>-68119.072750000007</v>
      </c>
      <c r="E32" s="18">
        <f>E19-E28-E29</f>
        <v>-67782.7713875</v>
      </c>
      <c r="F32" s="18">
        <f>F19-F28-F29</f>
        <v>-67463.06805225</v>
      </c>
    </row>
    <row r="33" ht="20.05" customHeight="1">
      <c r="B33" t="s" s="20">
        <v>28</v>
      </c>
      <c r="C33" s="17"/>
      <c r="D33" s="18"/>
      <c r="E33" s="18"/>
      <c r="F33" s="18"/>
    </row>
    <row r="34" ht="20.05" customHeight="1">
      <c r="B34" t="s" s="10">
        <v>29</v>
      </c>
      <c r="C34" s="17">
        <f>'Cashflow'!M32-C11</f>
        <v>-66581.755</v>
      </c>
      <c r="D34" s="18">
        <f>C34-D11</f>
        <v>-66284.97275</v>
      </c>
      <c r="E34" s="18">
        <f>D34-E11</f>
        <v>-65948.6713875</v>
      </c>
      <c r="F34" s="18">
        <f>E34-F11</f>
        <v>-65628.96805225</v>
      </c>
    </row>
    <row r="35" ht="20.05" customHeight="1">
      <c r="B35" t="s" s="10">
        <v>30</v>
      </c>
      <c r="C35" s="17"/>
      <c r="D35" s="18"/>
      <c r="E35" s="18"/>
      <c r="F35" s="18">
        <v>27434747934720</v>
      </c>
    </row>
    <row r="36" ht="20.05" customHeight="1">
      <c r="B36" t="s" s="10">
        <v>30</v>
      </c>
      <c r="C36" s="17"/>
      <c r="D36" s="18"/>
      <c r="E36" s="18"/>
      <c r="F36" s="18">
        <f>F35/1000000000</f>
        <v>27434.74793472</v>
      </c>
    </row>
    <row r="37" ht="20.05" customHeight="1">
      <c r="B37" t="s" s="10">
        <v>31</v>
      </c>
      <c r="C37" s="17"/>
      <c r="D37" s="18"/>
      <c r="E37" s="18"/>
      <c r="F37" s="21">
        <f>F36/(F19+F27)</f>
        <v>0.277288400118861</v>
      </c>
    </row>
    <row r="38" ht="20.05" customHeight="1">
      <c r="B38" t="s" s="10">
        <v>32</v>
      </c>
      <c r="C38" s="17"/>
      <c r="D38" s="18"/>
      <c r="E38" s="18"/>
      <c r="F38" s="16">
        <f>-(C15+D15+E15+F15)/F36</f>
        <v>0</v>
      </c>
    </row>
    <row r="39" ht="20.05" customHeight="1">
      <c r="B39" t="s" s="10">
        <v>33</v>
      </c>
      <c r="C39" s="17"/>
      <c r="D39" s="18"/>
      <c r="E39" s="18"/>
      <c r="F39" s="18">
        <f>SUM(F9:F10)*4</f>
        <v>1278.813341</v>
      </c>
    </row>
    <row r="40" ht="20.05" customHeight="1">
      <c r="B40" t="s" s="10">
        <v>34</v>
      </c>
      <c r="C40" s="17"/>
      <c r="D40" s="18"/>
      <c r="E40" s="18"/>
      <c r="F40" s="18">
        <f>'Balance sheet'!E32/F39</f>
        <v>73.8012319500818</v>
      </c>
    </row>
    <row r="41" ht="20.05" customHeight="1">
      <c r="B41" t="s" s="10">
        <v>28</v>
      </c>
      <c r="C41" s="17"/>
      <c r="D41" s="18"/>
      <c r="E41" s="18"/>
      <c r="F41" s="18">
        <f>F36/F39</f>
        <v>21.4532856791021</v>
      </c>
    </row>
    <row r="42" ht="20.05" customHeight="1">
      <c r="B42" t="s" s="10">
        <v>35</v>
      </c>
      <c r="C42" s="17"/>
      <c r="D42" s="18"/>
      <c r="E42" s="18"/>
      <c r="F42" s="18">
        <v>26</v>
      </c>
    </row>
    <row r="43" ht="20.05" customHeight="1">
      <c r="B43" t="s" s="10">
        <v>36</v>
      </c>
      <c r="C43" s="17"/>
      <c r="D43" s="18"/>
      <c r="E43" s="18"/>
      <c r="F43" s="18">
        <f>F39*F42</f>
        <v>33249.146866</v>
      </c>
    </row>
    <row r="44" ht="20.05" customHeight="1">
      <c r="B44" t="s" s="10">
        <v>37</v>
      </c>
      <c r="C44" s="17"/>
      <c r="D44" s="18"/>
      <c r="E44" s="18"/>
      <c r="F44" s="18">
        <f>F36/F46</f>
        <v>7.257869824</v>
      </c>
    </row>
    <row r="45" ht="20.05" customHeight="1">
      <c r="B45" t="s" s="10">
        <v>38</v>
      </c>
      <c r="C45" s="17"/>
      <c r="D45" s="18"/>
      <c r="E45" s="18"/>
      <c r="F45" s="18">
        <f>F43/F44</f>
        <v>4581.116453212370</v>
      </c>
    </row>
    <row r="46" ht="20.05" customHeight="1">
      <c r="B46" t="s" s="10">
        <v>39</v>
      </c>
      <c r="C46" s="17"/>
      <c r="D46" s="18"/>
      <c r="E46" s="18"/>
      <c r="F46" s="18">
        <v>3780</v>
      </c>
    </row>
    <row r="47" ht="20.05" customHeight="1">
      <c r="B47" t="s" s="10">
        <v>40</v>
      </c>
      <c r="C47" s="17"/>
      <c r="D47" s="18"/>
      <c r="E47" s="18"/>
      <c r="F47" s="16">
        <f>F45/F46-1</f>
        <v>0.211935569632902</v>
      </c>
    </row>
    <row r="48" ht="20.05" customHeight="1">
      <c r="B48" t="s" s="10">
        <v>41</v>
      </c>
      <c r="C48" s="17"/>
      <c r="D48" s="18"/>
      <c r="E48" s="18"/>
      <c r="F48" s="16">
        <f>'Sales'!C32/'Sales'!C28-1</f>
        <v>0.159573310112115</v>
      </c>
    </row>
    <row r="49" ht="20.05" customHeight="1">
      <c r="B49" t="s" s="10">
        <v>42</v>
      </c>
      <c r="C49" s="22"/>
      <c r="D49" s="23"/>
      <c r="E49" s="23"/>
      <c r="F49" s="16">
        <f>'Sales'!F35/'Sales'!E35-1</f>
        <v>0.0277437896340559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3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21094" style="24" customWidth="1"/>
    <col min="2" max="2" width="9.65625" style="24" customWidth="1"/>
    <col min="3" max="12" width="9.39844" style="24" customWidth="1"/>
    <col min="13" max="16384" width="16.3516" style="24" customWidth="1"/>
  </cols>
  <sheetData>
    <row r="1" ht="5.45" customHeight="1"/>
    <row r="2" ht="27.65" customHeight="1">
      <c r="B2" t="s" s="2">
        <v>43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5">
        <v>44</v>
      </c>
      <c r="C3" t="s" s="5">
        <v>5</v>
      </c>
      <c r="D3" t="s" s="5">
        <v>35</v>
      </c>
      <c r="E3" t="s" s="5">
        <v>20</v>
      </c>
      <c r="F3" t="s" s="5">
        <v>45</v>
      </c>
      <c r="G3" t="s" s="5">
        <v>46</v>
      </c>
      <c r="H3" t="s" s="5">
        <v>22</v>
      </c>
      <c r="I3" t="s" s="5">
        <v>47</v>
      </c>
      <c r="J3" t="s" s="5">
        <v>48</v>
      </c>
      <c r="K3" t="s" s="5">
        <v>48</v>
      </c>
      <c r="L3" t="s" s="5">
        <v>35</v>
      </c>
    </row>
    <row r="4" ht="20.25" customHeight="1">
      <c r="B4" s="25">
        <v>2015</v>
      </c>
      <c r="C4" s="26">
        <v>1776</v>
      </c>
      <c r="D4" s="27"/>
      <c r="E4" s="28">
        <v>184.5</v>
      </c>
      <c r="F4" s="28">
        <v>0</v>
      </c>
      <c r="G4" s="28"/>
      <c r="H4" s="28">
        <v>280</v>
      </c>
      <c r="I4" s="29"/>
      <c r="J4" s="29">
        <f>(E4+H4-C4-F4)/C4</f>
        <v>-0.738457207207207</v>
      </c>
      <c r="K4" s="29"/>
      <c r="L4" s="29"/>
    </row>
    <row r="5" ht="20.05" customHeight="1">
      <c r="B5" s="30"/>
      <c r="C5" s="13">
        <v>1863.3</v>
      </c>
      <c r="D5" s="14"/>
      <c r="E5" s="23">
        <v>184.5</v>
      </c>
      <c r="F5" s="23">
        <v>0</v>
      </c>
      <c r="G5" s="23"/>
      <c r="H5" s="23">
        <v>-221</v>
      </c>
      <c r="I5" s="16">
        <f>C5/C4-1</f>
        <v>0.0491554054054054</v>
      </c>
      <c r="J5" s="16">
        <f>(E5+H5-C5-F5)/C5</f>
        <v>-1.01958890141147</v>
      </c>
      <c r="K5" s="16"/>
      <c r="L5" s="16"/>
    </row>
    <row r="6" ht="20.05" customHeight="1">
      <c r="B6" s="30"/>
      <c r="C6" s="13">
        <v>1831.9</v>
      </c>
      <c r="D6" s="14"/>
      <c r="E6" s="23">
        <v>184.5</v>
      </c>
      <c r="F6" s="23">
        <v>0</v>
      </c>
      <c r="G6" s="23"/>
      <c r="H6" s="23">
        <v>848</v>
      </c>
      <c r="I6" s="16">
        <f>C6/C5-1</f>
        <v>-0.0168518220361724</v>
      </c>
      <c r="J6" s="16">
        <f>(E6+H6-C6-F6)/C6</f>
        <v>-0.436377531524647</v>
      </c>
      <c r="K6" s="16"/>
      <c r="L6" s="16"/>
    </row>
    <row r="7" ht="20.05" customHeight="1">
      <c r="B7" s="30"/>
      <c r="C7" s="13">
        <v>2159.4</v>
      </c>
      <c r="D7" s="14"/>
      <c r="E7" s="23">
        <v>184.5</v>
      </c>
      <c r="F7" s="23">
        <v>0</v>
      </c>
      <c r="G7" s="23"/>
      <c r="H7" s="23">
        <v>412</v>
      </c>
      <c r="I7" s="16">
        <f>C7/C6-1</f>
        <v>0.178776134068454</v>
      </c>
      <c r="J7" s="16">
        <f>(E7+H7-C7-F7)/C7</f>
        <v>-0.723765860887284</v>
      </c>
      <c r="K7" s="16"/>
      <c r="L7" s="16"/>
    </row>
    <row r="8" ht="20.05" customHeight="1">
      <c r="B8" s="31">
        <v>2016</v>
      </c>
      <c r="C8" s="13">
        <v>2049</v>
      </c>
      <c r="D8" s="14"/>
      <c r="E8" s="23">
        <v>193</v>
      </c>
      <c r="F8" s="23">
        <v>0</v>
      </c>
      <c r="G8" s="23"/>
      <c r="H8" s="23">
        <v>384</v>
      </c>
      <c r="I8" s="16">
        <f>C8/C7-1</f>
        <v>-0.0511253125868297</v>
      </c>
      <c r="J8" s="16">
        <f>(E8+H8-C8-F8)/C8</f>
        <v>-0.718399219131284</v>
      </c>
      <c r="K8" s="32"/>
      <c r="L8" s="32"/>
    </row>
    <row r="9" ht="20.05" customHeight="1">
      <c r="B9" s="30"/>
      <c r="C9" s="13">
        <v>2165</v>
      </c>
      <c r="D9" s="14"/>
      <c r="E9" s="23">
        <v>208</v>
      </c>
      <c r="F9" s="23">
        <v>0</v>
      </c>
      <c r="G9" s="23"/>
      <c r="H9" s="23">
        <v>490</v>
      </c>
      <c r="I9" s="16">
        <f>C9/C8-1</f>
        <v>0.0566129819424109</v>
      </c>
      <c r="J9" s="16">
        <f>(E9+H9-C9-F9)/C9</f>
        <v>-0.677598152424942</v>
      </c>
      <c r="K9" s="32"/>
      <c r="L9" s="32"/>
    </row>
    <row r="10" ht="20.05" customHeight="1">
      <c r="B10" s="30"/>
      <c r="C10" s="13">
        <v>2263.2</v>
      </c>
      <c r="D10" s="14"/>
      <c r="E10" s="23">
        <v>194</v>
      </c>
      <c r="F10" s="23">
        <v>0</v>
      </c>
      <c r="G10" s="23"/>
      <c r="H10" s="23">
        <v>357</v>
      </c>
      <c r="I10" s="16">
        <f>C10/C9-1</f>
        <v>0.0453579676674365</v>
      </c>
      <c r="J10" s="16">
        <f>(E10+H10-C10-F10)/C10</f>
        <v>-0.756539413220219</v>
      </c>
      <c r="K10" s="32"/>
      <c r="L10" s="32"/>
    </row>
    <row r="11" ht="20.05" customHeight="1">
      <c r="B11" s="30"/>
      <c r="C11" s="13">
        <v>2355.1</v>
      </c>
      <c r="D11" s="14"/>
      <c r="E11" s="23">
        <v>283</v>
      </c>
      <c r="F11" s="23">
        <v>0</v>
      </c>
      <c r="G11" s="23"/>
      <c r="H11" s="23">
        <v>572</v>
      </c>
      <c r="I11" s="16">
        <f>C11/C10-1</f>
        <v>0.0406062212796041</v>
      </c>
      <c r="J11" s="16">
        <f>(E11+H11-C11-F11)/C11</f>
        <v>-0.636958090951552</v>
      </c>
      <c r="K11" s="32"/>
      <c r="L11" s="32"/>
    </row>
    <row r="12" ht="20.05" customHeight="1">
      <c r="B12" s="31">
        <v>2017</v>
      </c>
      <c r="C12" s="13">
        <v>2140.3</v>
      </c>
      <c r="D12" s="14"/>
      <c r="E12" s="23">
        <v>222</v>
      </c>
      <c r="F12" s="23">
        <v>0</v>
      </c>
      <c r="G12" s="23"/>
      <c r="H12" s="23">
        <v>523</v>
      </c>
      <c r="I12" s="16">
        <f>C12/C11-1</f>
        <v>-0.0912063182030487</v>
      </c>
      <c r="J12" s="16">
        <f>(E12+H12-C12-F12)/C12</f>
        <v>-0.651917955426809</v>
      </c>
      <c r="K12" s="16">
        <f>AVERAGE(J9:J12)</f>
        <v>-0.6807534030058811</v>
      </c>
      <c r="L12" s="32"/>
    </row>
    <row r="13" ht="20.05" customHeight="1">
      <c r="B13" s="30"/>
      <c r="C13" s="13">
        <v>2388.5</v>
      </c>
      <c r="D13" s="14"/>
      <c r="E13" s="23">
        <v>210</v>
      </c>
      <c r="F13" s="23">
        <v>0</v>
      </c>
      <c r="G13" s="23"/>
      <c r="H13" s="23">
        <v>437</v>
      </c>
      <c r="I13" s="16">
        <f>C13/C12-1</f>
        <v>0.115965051628276</v>
      </c>
      <c r="J13" s="16">
        <f>(E13+H13-C13-F13)/C13</f>
        <v>-0.729118693740842</v>
      </c>
      <c r="K13" s="16">
        <f>AVERAGE(J10:J13)</f>
        <v>-0.693633538334856</v>
      </c>
      <c r="L13" s="32"/>
    </row>
    <row r="14" ht="20.05" customHeight="1">
      <c r="B14" s="30"/>
      <c r="C14" s="13">
        <v>2253.2</v>
      </c>
      <c r="D14" s="14"/>
      <c r="E14" s="23">
        <v>235</v>
      </c>
      <c r="F14" s="23">
        <v>0</v>
      </c>
      <c r="G14" s="23"/>
      <c r="H14" s="23">
        <v>881</v>
      </c>
      <c r="I14" s="16">
        <f>C14/C13-1</f>
        <v>-0.0566464308143186</v>
      </c>
      <c r="J14" s="16">
        <f>(E14+H14-C14-F14)/C14</f>
        <v>-0.504704420379904</v>
      </c>
      <c r="K14" s="16">
        <f>AVERAGE(J11:J14)</f>
        <v>-0.630674790124777</v>
      </c>
      <c r="L14" s="32"/>
    </row>
    <row r="15" ht="20.05" customHeight="1">
      <c r="B15" s="30"/>
      <c r="C15" s="13">
        <v>2139.6</v>
      </c>
      <c r="D15" s="14"/>
      <c r="E15" s="23">
        <v>338</v>
      </c>
      <c r="F15" s="23">
        <v>0</v>
      </c>
      <c r="G15" s="23"/>
      <c r="H15" s="23">
        <v>253</v>
      </c>
      <c r="I15" s="16">
        <f>C15/C14-1</f>
        <v>-0.050417184448784</v>
      </c>
      <c r="J15" s="16">
        <f>(E15+H15-C15-F15)/C15</f>
        <v>-0.723780145821649</v>
      </c>
      <c r="K15" s="16">
        <f>AVERAGE(J12:J15)</f>
        <v>-0.6523803038423009</v>
      </c>
      <c r="L15" s="16"/>
    </row>
    <row r="16" ht="20.05" customHeight="1">
      <c r="B16" s="31">
        <v>2018</v>
      </c>
      <c r="C16" s="13">
        <v>2380.9</v>
      </c>
      <c r="D16" s="14"/>
      <c r="E16" s="23">
        <v>226</v>
      </c>
      <c r="F16" s="23">
        <v>-56</v>
      </c>
      <c r="G16" s="23"/>
      <c r="H16" s="23">
        <v>560</v>
      </c>
      <c r="I16" s="16">
        <f>C16/C15-1</f>
        <v>0.112778089362498</v>
      </c>
      <c r="J16" s="16">
        <f>(E16+H16-C16-F16)/C16</f>
        <v>-0.6463522197488339</v>
      </c>
      <c r="K16" s="16">
        <f>AVERAGE(J13:J16)</f>
        <v>-0.650988869922807</v>
      </c>
      <c r="L16" s="16"/>
    </row>
    <row r="17" ht="20.05" customHeight="1">
      <c r="B17" s="30"/>
      <c r="C17" s="13">
        <v>2408.8</v>
      </c>
      <c r="D17" s="14"/>
      <c r="E17" s="23">
        <v>252</v>
      </c>
      <c r="F17" s="23">
        <v>-57</v>
      </c>
      <c r="G17" s="23"/>
      <c r="H17" s="23">
        <v>410</v>
      </c>
      <c r="I17" s="16">
        <f>C17/C16-1</f>
        <v>0.0117182578016716</v>
      </c>
      <c r="J17" s="16">
        <f>(E17+H17-C17-F17)/C17</f>
        <v>-0.701511125871803</v>
      </c>
      <c r="K17" s="16">
        <f>AVERAGE(J14:J17)</f>
        <v>-0.644086977955548</v>
      </c>
      <c r="L17" s="16"/>
    </row>
    <row r="18" ht="20.05" customHeight="1">
      <c r="B18" s="30"/>
      <c r="C18" s="13">
        <v>2340.7</v>
      </c>
      <c r="D18" s="14"/>
      <c r="E18" s="23">
        <v>166.48</v>
      </c>
      <c r="F18" s="23">
        <v>-102</v>
      </c>
      <c r="G18" s="23"/>
      <c r="H18" s="23">
        <v>708</v>
      </c>
      <c r="I18" s="16">
        <f>C18/C17-1</f>
        <v>-0.0282713384257722</v>
      </c>
      <c r="J18" s="16">
        <f>(E18+H18-C18-F18)/C18</f>
        <v>-0.582825650446448</v>
      </c>
      <c r="K18" s="16">
        <f>AVERAGE(J15:J18)</f>
        <v>-0.663617285472184</v>
      </c>
      <c r="L18" s="16"/>
    </row>
    <row r="19" ht="20.05" customHeight="1">
      <c r="B19" s="30"/>
      <c r="C19" s="13">
        <v>2654</v>
      </c>
      <c r="D19" s="14"/>
      <c r="E19" s="23">
        <v>450.52</v>
      </c>
      <c r="F19" s="23">
        <v>-150</v>
      </c>
      <c r="G19" s="23"/>
      <c r="H19" s="23">
        <v>358</v>
      </c>
      <c r="I19" s="16">
        <f>C19/C18-1</f>
        <v>0.133848848635024</v>
      </c>
      <c r="J19" s="16">
        <f>(E19+H19-C19-F19)/C19</f>
        <v>-0.638839487565938</v>
      </c>
      <c r="K19" s="16">
        <f>AVERAGE(J16:J19)</f>
        <v>-0.642382120908256</v>
      </c>
      <c r="L19" s="16"/>
    </row>
    <row r="20" ht="20.05" customHeight="1">
      <c r="B20" s="31">
        <v>2019</v>
      </c>
      <c r="C20" s="13">
        <v>2517</v>
      </c>
      <c r="D20" s="14"/>
      <c r="E20" s="23">
        <v>283</v>
      </c>
      <c r="F20" s="23">
        <v>-114</v>
      </c>
      <c r="G20" s="23"/>
      <c r="H20" s="23">
        <v>561</v>
      </c>
      <c r="I20" s="16">
        <f>C20/C19-1</f>
        <v>-0.0516201959306707</v>
      </c>
      <c r="J20" s="16">
        <f>(E20+H20-C20-F20)/C20</f>
        <v>-0.619388160508542</v>
      </c>
      <c r="K20" s="16">
        <f>AVERAGE(J17:J20)</f>
        <v>-0.635641106098183</v>
      </c>
      <c r="L20" s="16"/>
    </row>
    <row r="21" ht="20.05" customHeight="1">
      <c r="B21" s="30"/>
      <c r="C21" s="13">
        <v>2639</v>
      </c>
      <c r="D21" s="14"/>
      <c r="E21" s="23">
        <v>360</v>
      </c>
      <c r="F21" s="23">
        <v>-37</v>
      </c>
      <c r="G21" s="23"/>
      <c r="H21" s="23">
        <v>457</v>
      </c>
      <c r="I21" s="16">
        <f>C21/C20-1</f>
        <v>0.0484704012713548</v>
      </c>
      <c r="J21" s="16">
        <f>(E21+H21-C21-F21)/C21</f>
        <v>-0.676392572944297</v>
      </c>
      <c r="K21" s="16">
        <f>AVERAGE(J18:J21)</f>
        <v>-0.629361467866306</v>
      </c>
      <c r="L21" s="16"/>
    </row>
    <row r="22" ht="20.05" customHeight="1">
      <c r="B22" s="30"/>
      <c r="C22" s="13">
        <v>2800.2</v>
      </c>
      <c r="D22" s="14"/>
      <c r="E22" s="23">
        <v>291</v>
      </c>
      <c r="F22" s="23">
        <v>-134</v>
      </c>
      <c r="G22" s="23"/>
      <c r="H22" s="23">
        <v>397</v>
      </c>
      <c r="I22" s="16">
        <f>C22/C21-1</f>
        <v>0.0610837438423645</v>
      </c>
      <c r="J22" s="16">
        <f>(E22+H22-C22-F22)/C22</f>
        <v>-0.70644953931862</v>
      </c>
      <c r="K22" s="16">
        <f>AVERAGE(J19:J22)</f>
        <v>-0.660267440084349</v>
      </c>
      <c r="L22" s="16"/>
    </row>
    <row r="23" ht="20.05" customHeight="1">
      <c r="B23" s="30"/>
      <c r="C23" s="13">
        <v>3027.8</v>
      </c>
      <c r="D23" s="14"/>
      <c r="E23" s="23">
        <v>494</v>
      </c>
      <c r="F23" s="23">
        <v>-39</v>
      </c>
      <c r="G23" s="23"/>
      <c r="H23" s="23">
        <v>658.8</v>
      </c>
      <c r="I23" s="16">
        <f>C23/C22-1</f>
        <v>0.08127990857795871</v>
      </c>
      <c r="J23" s="16">
        <f>(E23+H23-C23-F23)/C23</f>
        <v>-0.6063808705991151</v>
      </c>
      <c r="K23" s="16">
        <f>AVERAGE(J20:J23)</f>
        <v>-0.652152785842644</v>
      </c>
      <c r="L23" s="16"/>
    </row>
    <row r="24" ht="20.05" customHeight="1">
      <c r="B24" s="31">
        <v>2020</v>
      </c>
      <c r="C24" s="13">
        <v>2734.3</v>
      </c>
      <c r="D24" s="14"/>
      <c r="E24" s="23">
        <v>333</v>
      </c>
      <c r="F24" s="23">
        <v>-99</v>
      </c>
      <c r="G24" s="23"/>
      <c r="H24" s="23">
        <v>521.2</v>
      </c>
      <c r="I24" s="16">
        <f>C24/C23-1</f>
        <v>-0.0969350683664707</v>
      </c>
      <c r="J24" s="16">
        <f>(E24+H24-C24-F24)/C24</f>
        <v>-0.651391581026222</v>
      </c>
      <c r="K24" s="16">
        <f>AVERAGE(J21:J24)</f>
        <v>-0.660153640972064</v>
      </c>
      <c r="L24" s="16"/>
    </row>
    <row r="25" ht="20.05" customHeight="1">
      <c r="B25" s="30"/>
      <c r="C25" s="13">
        <v>1609.4</v>
      </c>
      <c r="D25" s="14"/>
      <c r="E25" s="23">
        <v>307</v>
      </c>
      <c r="F25" s="23">
        <v>-213</v>
      </c>
      <c r="G25" s="23"/>
      <c r="H25" s="23">
        <v>-635.87</v>
      </c>
      <c r="I25" s="16">
        <f>C25/C24-1</f>
        <v>-0.411403284204367</v>
      </c>
      <c r="J25" s="16">
        <f>(E25+H25-C25-F25)/C25</f>
        <v>-1.07199577482292</v>
      </c>
      <c r="K25" s="16">
        <f>AVERAGE(J22:J25)</f>
        <v>-0.759054441441719</v>
      </c>
      <c r="L25" s="16"/>
    </row>
    <row r="26" ht="20.05" customHeight="1">
      <c r="B26" s="30"/>
      <c r="C26" s="13">
        <v>2496.3</v>
      </c>
      <c r="D26" s="14">
        <v>2380.17</v>
      </c>
      <c r="E26" s="23">
        <v>411</v>
      </c>
      <c r="F26" s="23">
        <v>-172</v>
      </c>
      <c r="G26" s="23"/>
      <c r="H26" s="23">
        <v>-105.33</v>
      </c>
      <c r="I26" s="16">
        <f>C26/C25-1</f>
        <v>0.5510749347582951</v>
      </c>
      <c r="J26" s="16">
        <f>(E26+H26-C26-F26)/C26</f>
        <v>-0.8086488002243321</v>
      </c>
      <c r="K26" s="16">
        <f>AVERAGE(J23:J26)</f>
        <v>-0.784604256668147</v>
      </c>
      <c r="L26" s="16"/>
    </row>
    <row r="27" ht="20.05" customHeight="1">
      <c r="B27" s="30"/>
      <c r="C27" s="13">
        <v>2748</v>
      </c>
      <c r="D27" s="14">
        <v>2770.893</v>
      </c>
      <c r="E27" s="23">
        <v>638</v>
      </c>
      <c r="F27" s="23">
        <v>320</v>
      </c>
      <c r="G27" s="23"/>
      <c r="H27" s="23">
        <v>178</v>
      </c>
      <c r="I27" s="16">
        <f>C27/C26-1</f>
        <v>0.100829227256339</v>
      </c>
      <c r="J27" s="16">
        <f>(E27+H27-C27-F27)/C27</f>
        <v>-0.819505094614265</v>
      </c>
      <c r="K27" s="16">
        <f>AVERAGE(J24:J27)</f>
        <v>-0.837885312671935</v>
      </c>
      <c r="L27" s="16"/>
    </row>
    <row r="28" ht="20.05" customHeight="1">
      <c r="B28" s="31">
        <v>2021</v>
      </c>
      <c r="C28" s="13">
        <f>2540.5+215.6</f>
        <v>2756.1</v>
      </c>
      <c r="D28" s="14">
        <v>2748</v>
      </c>
      <c r="E28" s="23">
        <v>654.25</v>
      </c>
      <c r="F28" s="23">
        <v>-45.3</v>
      </c>
      <c r="G28" s="23">
        <v>395.75</v>
      </c>
      <c r="H28" s="23">
        <v>-17.1</v>
      </c>
      <c r="I28" s="16">
        <f>C28/C27-1</f>
        <v>0.00294759825327511</v>
      </c>
      <c r="J28" s="16">
        <f>(E28+H28-C28-F28)/C28</f>
        <v>-0.752385617357861</v>
      </c>
      <c r="K28" s="16">
        <f>AVERAGE(J25:J28)</f>
        <v>-0.863133821754845</v>
      </c>
      <c r="L28" s="16"/>
    </row>
    <row r="29" ht="20.05" customHeight="1">
      <c r="B29" s="30"/>
      <c r="C29" s="13">
        <v>2478.9</v>
      </c>
      <c r="D29" s="14">
        <f>'Model'!C6</f>
        <v>3355.695</v>
      </c>
      <c r="E29" s="23">
        <v>654.25</v>
      </c>
      <c r="F29" s="23">
        <v>-36.7</v>
      </c>
      <c r="G29" s="23">
        <v>395.75</v>
      </c>
      <c r="H29" s="23">
        <v>524.1</v>
      </c>
      <c r="I29" s="16">
        <f>C29/C28-1</f>
        <v>-0.100576902144334</v>
      </c>
      <c r="J29" s="16">
        <f>(E29+H29-G29-C29-F29)/C29</f>
        <v>-0.669490499818468</v>
      </c>
      <c r="K29" s="16">
        <f>AVERAGE(J26:J29)</f>
        <v>-0.762507503003732</v>
      </c>
      <c r="L29" s="16"/>
    </row>
    <row r="30" ht="20.05" customHeight="1">
      <c r="B30" s="30"/>
      <c r="C30" s="13">
        <f>7605+654.5-SUM(C28:C29)</f>
        <v>3024.5</v>
      </c>
      <c r="D30" s="14">
        <v>2825.946</v>
      </c>
      <c r="E30" s="23">
        <v>654.25</v>
      </c>
      <c r="F30" s="23">
        <f>-99.7-SUM(F28:F29)</f>
        <v>-17.7</v>
      </c>
      <c r="G30" s="33">
        <v>395.75</v>
      </c>
      <c r="H30" s="23">
        <f>221.2-SUM(H28:H29)</f>
        <v>-285.8</v>
      </c>
      <c r="I30" s="16">
        <f>C30/C29-1</f>
        <v>0.220097623946105</v>
      </c>
      <c r="J30" s="16">
        <f>(E30+H30-G30-C30-F30)/C30</f>
        <v>-1.00317407836006</v>
      </c>
      <c r="K30" s="16">
        <f>AVERAGE(J27:J30)</f>
        <v>-0.811138822537664</v>
      </c>
      <c r="L30" s="16"/>
    </row>
    <row r="31" ht="20.05" customHeight="1">
      <c r="B31" s="30"/>
      <c r="C31" s="13">
        <f>10786+990-C30-C29-C28</f>
        <v>3516.5</v>
      </c>
      <c r="D31" s="14">
        <f>'Model'!C6</f>
        <v>3355.695</v>
      </c>
      <c r="E31" s="14">
        <v>654.25</v>
      </c>
      <c r="F31" s="23">
        <f>-126-F30-F29-F28</f>
        <v>-26.3</v>
      </c>
      <c r="G31" s="33">
        <v>395.75</v>
      </c>
      <c r="H31" s="14">
        <f>871-H30-H29-H28</f>
        <v>649.8</v>
      </c>
      <c r="I31" s="16">
        <f>C31/C30-1</f>
        <v>0.16267151595305</v>
      </c>
      <c r="J31" s="16">
        <f>(E31+H31-G31-C31-F31)/C31</f>
        <v>-0.734224370823262</v>
      </c>
      <c r="K31" s="16">
        <f>AVERAGE(J28:J31)</f>
        <v>-0.789818641589913</v>
      </c>
      <c r="L31" s="16"/>
    </row>
    <row r="32" ht="20.05" customHeight="1">
      <c r="B32" s="31">
        <v>2022</v>
      </c>
      <c r="C32" s="22">
        <f>2938.1+257.8</f>
        <v>3195.9</v>
      </c>
      <c r="D32" s="14">
        <v>3340.675</v>
      </c>
      <c r="E32" s="14">
        <f>9.9+0.8+41.5+431.4</f>
        <v>483.6</v>
      </c>
      <c r="F32" s="14">
        <v>46</v>
      </c>
      <c r="G32" s="14"/>
      <c r="H32" s="14">
        <v>279.3</v>
      </c>
      <c r="I32" s="16">
        <f>C32/C31-1</f>
        <v>-0.09117019763969859</v>
      </c>
      <c r="J32" s="16">
        <f>(E32+H32-G32-C32-F32)/C32</f>
        <v>-0.775681341719078</v>
      </c>
      <c r="K32" s="16">
        <f>AVERAGE(J29:J32)</f>
        <v>-0.795642572680217</v>
      </c>
      <c r="L32" s="16">
        <v>-0.734224370823262</v>
      </c>
    </row>
    <row r="33" ht="20.05" customHeight="1">
      <c r="B33" s="30"/>
      <c r="C33" s="34"/>
      <c r="D33" s="14">
        <f>'Model'!C6</f>
        <v>3355.695</v>
      </c>
      <c r="E33" s="14"/>
      <c r="F33" s="14"/>
      <c r="G33" s="14"/>
      <c r="H33" s="14"/>
      <c r="I33" s="16"/>
      <c r="J33" s="16"/>
      <c r="K33" s="16"/>
      <c r="L33" s="16">
        <f>'Model'!C7</f>
        <v>-0.775681341719078</v>
      </c>
    </row>
    <row r="34" ht="20.05" customHeight="1">
      <c r="B34" s="30"/>
      <c r="C34" s="13"/>
      <c r="D34" s="14">
        <f>'Model'!D6</f>
        <v>3523.47975</v>
      </c>
      <c r="E34" s="32"/>
      <c r="F34" s="14"/>
      <c r="G34" s="14"/>
      <c r="H34" s="14"/>
      <c r="I34" s="14"/>
      <c r="J34" s="35"/>
      <c r="K34" s="35"/>
      <c r="L34" s="35"/>
    </row>
    <row r="35" ht="20.05" customHeight="1">
      <c r="B35" s="30"/>
      <c r="C35" s="13"/>
      <c r="D35" s="14">
        <f>'Model'!E6</f>
        <v>3699.6537375</v>
      </c>
      <c r="E35" s="14">
        <f>SUM(C26:C32)</f>
        <v>20216.2</v>
      </c>
      <c r="F35" s="14">
        <f>SUM(D26:D32)</f>
        <v>20777.074</v>
      </c>
      <c r="G35" s="14"/>
      <c r="H35" s="14"/>
      <c r="I35" s="14"/>
      <c r="J35" s="35"/>
      <c r="K35" s="35"/>
      <c r="L35" s="35"/>
    </row>
    <row r="36" ht="20.05" customHeight="1">
      <c r="B36" s="31">
        <v>2023</v>
      </c>
      <c r="C36" s="13"/>
      <c r="D36" s="14">
        <f>'Model'!F6</f>
        <v>3625.66066275</v>
      </c>
      <c r="E36" s="14"/>
      <c r="F36" s="14"/>
      <c r="G36" s="14"/>
      <c r="H36" s="14"/>
      <c r="I36" s="14"/>
      <c r="J36" s="35"/>
      <c r="K36" s="35"/>
      <c r="L36" s="35"/>
    </row>
  </sheetData>
  <mergeCells count="1">
    <mergeCell ref="B2:L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3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83594" style="36" customWidth="1"/>
    <col min="2" max="2" width="8.21094" style="36" customWidth="1"/>
    <col min="3" max="15" width="10.3047" style="36" customWidth="1"/>
    <col min="16" max="16384" width="16.3516" style="36" customWidth="1"/>
  </cols>
  <sheetData>
    <row r="1" ht="10.6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.25" customHeight="1">
      <c r="B3" t="s" s="5">
        <v>44</v>
      </c>
      <c r="C3" t="s" s="5">
        <v>49</v>
      </c>
      <c r="D3" t="s" s="5">
        <v>50</v>
      </c>
      <c r="E3" t="s" s="5">
        <v>51</v>
      </c>
      <c r="F3" t="s" s="5">
        <v>52</v>
      </c>
      <c r="G3" t="s" s="5">
        <v>11</v>
      </c>
      <c r="H3" t="s" s="5">
        <v>53</v>
      </c>
      <c r="I3" t="s" s="5">
        <v>54</v>
      </c>
      <c r="J3" t="s" s="5">
        <v>55</v>
      </c>
      <c r="K3" t="s" s="5">
        <v>33</v>
      </c>
      <c r="L3" t="s" s="5">
        <v>35</v>
      </c>
      <c r="M3" t="s" s="5">
        <v>56</v>
      </c>
      <c r="N3" t="s" s="5">
        <v>35</v>
      </c>
      <c r="O3" s="37"/>
    </row>
    <row r="4" ht="20.25" customHeight="1">
      <c r="B4" s="25">
        <v>2015</v>
      </c>
      <c r="C4" s="38">
        <v>1766</v>
      </c>
      <c r="D4" s="28">
        <v>503</v>
      </c>
      <c r="E4" s="28">
        <v>-560</v>
      </c>
      <c r="F4" s="28"/>
      <c r="G4" s="28"/>
      <c r="H4" s="28"/>
      <c r="I4" s="28">
        <v>-317</v>
      </c>
      <c r="J4" s="28">
        <f>D4+E4+F4</f>
        <v>-57</v>
      </c>
      <c r="K4" s="39"/>
      <c r="L4" s="28"/>
      <c r="M4" s="28">
        <f>-I4</f>
        <v>317</v>
      </c>
      <c r="N4" s="28"/>
      <c r="O4" s="28">
        <v>1</v>
      </c>
    </row>
    <row r="5" ht="20.05" customHeight="1">
      <c r="B5" s="30"/>
      <c r="C5" s="22">
        <v>1863</v>
      </c>
      <c r="D5" s="23">
        <v>622</v>
      </c>
      <c r="E5" s="23">
        <v>-786</v>
      </c>
      <c r="F5" s="23"/>
      <c r="G5" s="23"/>
      <c r="H5" s="23"/>
      <c r="I5" s="23">
        <v>7</v>
      </c>
      <c r="J5" s="23">
        <f>D5+E5+F5</f>
        <v>-164</v>
      </c>
      <c r="K5" s="18"/>
      <c r="L5" s="23"/>
      <c r="M5" s="23">
        <f>-I5+M4</f>
        <v>310</v>
      </c>
      <c r="N5" s="23"/>
      <c r="O5" s="23">
        <f>1+O4</f>
        <v>2</v>
      </c>
    </row>
    <row r="6" ht="20.05" customHeight="1">
      <c r="B6" s="30"/>
      <c r="C6" s="22">
        <v>1781</v>
      </c>
      <c r="D6" s="23">
        <v>-32</v>
      </c>
      <c r="E6" s="23">
        <v>-522</v>
      </c>
      <c r="F6" s="23"/>
      <c r="G6" s="23"/>
      <c r="H6" s="23"/>
      <c r="I6" s="23">
        <v>293</v>
      </c>
      <c r="J6" s="23">
        <f>D6+E6+F6</f>
        <v>-554</v>
      </c>
      <c r="K6" s="18"/>
      <c r="L6" s="23"/>
      <c r="M6" s="23">
        <f>-I6+M5</f>
        <v>17</v>
      </c>
      <c r="N6" s="23"/>
      <c r="O6" s="23">
        <f>1+O5</f>
        <v>3</v>
      </c>
    </row>
    <row r="7" ht="20.05" customHeight="1">
      <c r="B7" s="30"/>
      <c r="C7" s="22">
        <v>2131</v>
      </c>
      <c r="D7" s="23">
        <v>621</v>
      </c>
      <c r="E7" s="23">
        <v>-2145</v>
      </c>
      <c r="F7" s="23"/>
      <c r="G7" s="23"/>
      <c r="H7" s="23"/>
      <c r="I7" s="23">
        <v>2349</v>
      </c>
      <c r="J7" s="23">
        <f>D7+E7+F7</f>
        <v>-1524</v>
      </c>
      <c r="K7" s="18"/>
      <c r="L7" s="23"/>
      <c r="M7" s="23">
        <f>-I7+M6</f>
        <v>-2332</v>
      </c>
      <c r="N7" s="23"/>
      <c r="O7" s="23">
        <f>1+O6</f>
        <v>4</v>
      </c>
    </row>
    <row r="8" ht="20.05" customHeight="1">
      <c r="B8" s="31">
        <v>2016</v>
      </c>
      <c r="C8" s="22">
        <v>2019</v>
      </c>
      <c r="D8" s="23">
        <v>783</v>
      </c>
      <c r="E8" s="23">
        <v>-920</v>
      </c>
      <c r="F8" s="23"/>
      <c r="G8" s="23"/>
      <c r="H8" s="23"/>
      <c r="I8" s="23">
        <v>221</v>
      </c>
      <c r="J8" s="23">
        <f>D8+E8+F8</f>
        <v>-137</v>
      </c>
      <c r="K8" s="23">
        <f>AVERAGE(J5:J8)</f>
        <v>-594.75</v>
      </c>
      <c r="L8" s="23"/>
      <c r="M8" s="23">
        <f>-I8+M7</f>
        <v>-2553</v>
      </c>
      <c r="N8" s="23"/>
      <c r="O8" s="23">
        <f>1+O7</f>
        <v>5</v>
      </c>
    </row>
    <row r="9" ht="20.05" customHeight="1">
      <c r="B9" s="30"/>
      <c r="C9" s="22">
        <v>2053</v>
      </c>
      <c r="D9" s="23">
        <v>177</v>
      </c>
      <c r="E9" s="23">
        <v>-1607</v>
      </c>
      <c r="F9" s="23"/>
      <c r="G9" s="23"/>
      <c r="H9" s="23"/>
      <c r="I9" s="23">
        <v>2070</v>
      </c>
      <c r="J9" s="23">
        <f>D9+E9+F9</f>
        <v>-1430</v>
      </c>
      <c r="K9" s="23">
        <f>AVERAGE(J6:J9)</f>
        <v>-911.25</v>
      </c>
      <c r="L9" s="23"/>
      <c r="M9" s="23">
        <f>-I9+M8</f>
        <v>-4623</v>
      </c>
      <c r="N9" s="23"/>
      <c r="O9" s="23">
        <f>1+O8</f>
        <v>6</v>
      </c>
    </row>
    <row r="10" ht="20.05" customHeight="1">
      <c r="B10" s="30"/>
      <c r="C10" s="22">
        <v>2363</v>
      </c>
      <c r="D10" s="23">
        <v>866</v>
      </c>
      <c r="E10" s="23">
        <v>-2232</v>
      </c>
      <c r="F10" s="23"/>
      <c r="G10" s="23"/>
      <c r="H10" s="23"/>
      <c r="I10" s="23">
        <v>-31</v>
      </c>
      <c r="J10" s="23">
        <f>D10+E10+F10</f>
        <v>-1366</v>
      </c>
      <c r="K10" s="23">
        <f>AVERAGE(J7:J10)</f>
        <v>-1114.25</v>
      </c>
      <c r="L10" s="23"/>
      <c r="M10" s="23">
        <f>-I10+M9</f>
        <v>-4592</v>
      </c>
      <c r="N10" s="23"/>
      <c r="O10" s="23">
        <f>1+O9</f>
        <v>7</v>
      </c>
    </row>
    <row r="11" ht="20.05" customHeight="1">
      <c r="B11" s="30"/>
      <c r="C11" s="22">
        <v>2366</v>
      </c>
      <c r="D11" s="23">
        <v>419</v>
      </c>
      <c r="E11" s="23">
        <v>2855</v>
      </c>
      <c r="F11" s="23"/>
      <c r="G11" s="23"/>
      <c r="H11" s="23"/>
      <c r="I11" s="23">
        <v>10201</v>
      </c>
      <c r="J11" s="23">
        <f>D11+E11+F11</f>
        <v>3274</v>
      </c>
      <c r="K11" s="23">
        <f>AVERAGE(J8:J11)</f>
        <v>85.25</v>
      </c>
      <c r="L11" s="23"/>
      <c r="M11" s="23">
        <f>-I11+M10</f>
        <v>-14793</v>
      </c>
      <c r="N11" s="23"/>
      <c r="O11" s="23">
        <f>1+O10</f>
        <v>8</v>
      </c>
    </row>
    <row r="12" ht="20.05" customHeight="1">
      <c r="B12" s="31">
        <v>2017</v>
      </c>
      <c r="C12" s="22">
        <v>2140</v>
      </c>
      <c r="D12" s="23">
        <v>639</v>
      </c>
      <c r="E12" s="23">
        <v>-4348</v>
      </c>
      <c r="F12" s="23"/>
      <c r="G12" s="23"/>
      <c r="H12" s="23"/>
      <c r="I12" s="23">
        <v>3903</v>
      </c>
      <c r="J12" s="23">
        <f>D12+E12+F12</f>
        <v>-3709</v>
      </c>
      <c r="K12" s="23">
        <f>AVERAGE(J9:J12)</f>
        <v>-807.75</v>
      </c>
      <c r="L12" s="23"/>
      <c r="M12" s="23">
        <f>-I12+M11</f>
        <v>-18696</v>
      </c>
      <c r="N12" s="23"/>
      <c r="O12" s="23">
        <f>1+O11</f>
        <v>9</v>
      </c>
    </row>
    <row r="13" ht="20.05" customHeight="1">
      <c r="B13" s="30"/>
      <c r="C13" s="22">
        <v>2376</v>
      </c>
      <c r="D13" s="23">
        <v>246</v>
      </c>
      <c r="E13" s="23">
        <v>-3126</v>
      </c>
      <c r="F13" s="23"/>
      <c r="G13" s="23"/>
      <c r="H13" s="23"/>
      <c r="I13" s="23">
        <v>3406</v>
      </c>
      <c r="J13" s="23">
        <f>D13+E13+F13</f>
        <v>-2880</v>
      </c>
      <c r="K13" s="23">
        <f>AVERAGE(J10:J13)</f>
        <v>-1170.25</v>
      </c>
      <c r="L13" s="23"/>
      <c r="M13" s="23">
        <f>-I13+M12</f>
        <v>-22102</v>
      </c>
      <c r="N13" s="23"/>
      <c r="O13" s="23">
        <f>1+O12</f>
        <v>10</v>
      </c>
    </row>
    <row r="14" ht="20.05" customHeight="1">
      <c r="B14" s="30"/>
      <c r="C14" s="22">
        <v>2109</v>
      </c>
      <c r="D14" s="23">
        <v>170</v>
      </c>
      <c r="E14" s="23">
        <v>1094</v>
      </c>
      <c r="F14" s="23"/>
      <c r="G14" s="23"/>
      <c r="H14" s="23"/>
      <c r="I14" s="23">
        <v>1080</v>
      </c>
      <c r="J14" s="23">
        <f>D14+E14+F14</f>
        <v>1264</v>
      </c>
      <c r="K14" s="23">
        <f>AVERAGE(J11:J14)</f>
        <v>-512.75</v>
      </c>
      <c r="L14" s="23"/>
      <c r="M14" s="23">
        <f>-I14+M13</f>
        <v>-23182</v>
      </c>
      <c r="N14" s="23"/>
      <c r="O14" s="23">
        <f>1+O13</f>
        <v>11</v>
      </c>
    </row>
    <row r="15" ht="20.05" customHeight="1">
      <c r="B15" s="30"/>
      <c r="C15" s="22">
        <v>1602</v>
      </c>
      <c r="D15" s="23">
        <v>3301</v>
      </c>
      <c r="E15" s="23">
        <v>-6298</v>
      </c>
      <c r="F15" s="23"/>
      <c r="G15" s="23"/>
      <c r="H15" s="23"/>
      <c r="I15" s="23">
        <v>2796</v>
      </c>
      <c r="J15" s="23">
        <f>D15+E15+F15</f>
        <v>-2997</v>
      </c>
      <c r="K15" s="23">
        <f>AVERAGE(J12:J15)</f>
        <v>-2080.5</v>
      </c>
      <c r="L15" s="23"/>
      <c r="M15" s="23">
        <f>-I15+M14</f>
        <v>-25978</v>
      </c>
      <c r="N15" s="23"/>
      <c r="O15" s="23">
        <f>1+O14</f>
        <v>12</v>
      </c>
    </row>
    <row r="16" ht="20.05" customHeight="1">
      <c r="B16" s="31">
        <v>2018</v>
      </c>
      <c r="C16" s="22">
        <v>2671</v>
      </c>
      <c r="D16" s="23">
        <v>1571</v>
      </c>
      <c r="E16" s="23">
        <v>-2984</v>
      </c>
      <c r="F16" s="23"/>
      <c r="G16" s="23"/>
      <c r="H16" s="23"/>
      <c r="I16" s="23">
        <v>1016</v>
      </c>
      <c r="J16" s="23">
        <f>D16+E16+F16</f>
        <v>-1413</v>
      </c>
      <c r="K16" s="23">
        <f>AVERAGE(J13:J16)</f>
        <v>-1506.5</v>
      </c>
      <c r="L16" s="23"/>
      <c r="M16" s="23">
        <f>-I16+M15</f>
        <v>-26994</v>
      </c>
      <c r="N16" s="23"/>
      <c r="O16" s="23">
        <f>1+O15</f>
        <v>13</v>
      </c>
    </row>
    <row r="17" ht="20.05" customHeight="1">
      <c r="B17" s="30"/>
      <c r="C17" s="22">
        <v>2911</v>
      </c>
      <c r="D17" s="23">
        <v>-38</v>
      </c>
      <c r="E17" s="23">
        <v>-3967</v>
      </c>
      <c r="F17" s="23"/>
      <c r="G17" s="23"/>
      <c r="H17" s="23"/>
      <c r="I17" s="23">
        <v>2106</v>
      </c>
      <c r="J17" s="23">
        <f>D17+E17+F17</f>
        <v>-4005</v>
      </c>
      <c r="K17" s="23">
        <f>AVERAGE(J14:J17)</f>
        <v>-1787.75</v>
      </c>
      <c r="L17" s="23"/>
      <c r="M17" s="23">
        <f>-I17+M16</f>
        <v>-29100</v>
      </c>
      <c r="N17" s="23"/>
      <c r="O17" s="23">
        <f>1+O16</f>
        <v>14</v>
      </c>
    </row>
    <row r="18" ht="20.05" customHeight="1">
      <c r="B18" s="30"/>
      <c r="C18" s="22">
        <v>2407</v>
      </c>
      <c r="D18" s="23">
        <v>414</v>
      </c>
      <c r="E18" s="23">
        <v>-803</v>
      </c>
      <c r="F18" s="23"/>
      <c r="G18" s="23"/>
      <c r="H18" s="23"/>
      <c r="I18" s="23">
        <v>522</v>
      </c>
      <c r="J18" s="23">
        <f>D18+E18+F18</f>
        <v>-389</v>
      </c>
      <c r="K18" s="23">
        <f>AVERAGE(J15:J18)</f>
        <v>-2201</v>
      </c>
      <c r="L18" s="23"/>
      <c r="M18" s="23">
        <f>-I18+M17</f>
        <v>-29622</v>
      </c>
      <c r="N18" s="23"/>
      <c r="O18" s="23">
        <f>1+O17</f>
        <v>15</v>
      </c>
    </row>
    <row r="19" ht="20.05" customHeight="1">
      <c r="B19" s="30"/>
      <c r="C19" s="22">
        <v>1584</v>
      </c>
      <c r="D19" s="23">
        <v>-1037</v>
      </c>
      <c r="E19" s="23">
        <v>575</v>
      </c>
      <c r="F19" s="23"/>
      <c r="G19" s="23"/>
      <c r="H19" s="23"/>
      <c r="I19" s="23">
        <v>2570</v>
      </c>
      <c r="J19" s="23">
        <f>D19+E19+F19</f>
        <v>-462</v>
      </c>
      <c r="K19" s="23">
        <f>AVERAGE(J16:J19)</f>
        <v>-1567.25</v>
      </c>
      <c r="L19" s="23"/>
      <c r="M19" s="23">
        <f>-I19+M18</f>
        <v>-32192</v>
      </c>
      <c r="N19" s="23"/>
      <c r="O19" s="23">
        <f>1+O18</f>
        <v>16</v>
      </c>
    </row>
    <row r="20" ht="20.05" customHeight="1">
      <c r="B20" s="31">
        <v>2019</v>
      </c>
      <c r="C20" s="22">
        <v>2394</v>
      </c>
      <c r="D20" s="23">
        <v>-197</v>
      </c>
      <c r="E20" s="23">
        <v>-1486</v>
      </c>
      <c r="F20" s="23"/>
      <c r="G20" s="23"/>
      <c r="H20" s="23"/>
      <c r="I20" s="23">
        <v>120</v>
      </c>
      <c r="J20" s="23">
        <f>D20+E20+F20</f>
        <v>-1683</v>
      </c>
      <c r="K20" s="23">
        <f>AVERAGE(J17:J20)</f>
        <v>-1634.75</v>
      </c>
      <c r="L20" s="23"/>
      <c r="M20" s="23">
        <f>-I20+M19</f>
        <v>-32312</v>
      </c>
      <c r="N20" s="23"/>
      <c r="O20" s="23">
        <f>1+O19</f>
        <v>17</v>
      </c>
    </row>
    <row r="21" ht="20.05" customHeight="1">
      <c r="B21" s="30"/>
      <c r="C21" s="22">
        <v>2813</v>
      </c>
      <c r="D21" s="23">
        <v>1687</v>
      </c>
      <c r="E21" s="23">
        <v>-2077</v>
      </c>
      <c r="F21" s="23"/>
      <c r="G21" s="23"/>
      <c r="H21" s="23"/>
      <c r="I21" s="23">
        <v>597</v>
      </c>
      <c r="J21" s="23">
        <f>D21+E21+F21</f>
        <v>-390</v>
      </c>
      <c r="K21" s="23">
        <f>AVERAGE(J18:J21)</f>
        <v>-731</v>
      </c>
      <c r="L21" s="23"/>
      <c r="M21" s="23">
        <f>-I21+M20</f>
        <v>-32909</v>
      </c>
      <c r="N21" s="23"/>
      <c r="O21" s="23">
        <f>1+O20</f>
        <v>18</v>
      </c>
    </row>
    <row r="22" ht="20.05" customHeight="1">
      <c r="B22" s="30"/>
      <c r="C22" s="22">
        <v>2732</v>
      </c>
      <c r="D22" s="23">
        <v>1105</v>
      </c>
      <c r="E22" s="23">
        <v>-3990</v>
      </c>
      <c r="F22" s="23"/>
      <c r="G22" s="23"/>
      <c r="H22" s="23"/>
      <c r="I22" s="23">
        <v>2212</v>
      </c>
      <c r="J22" s="23">
        <f>D22+E22+F22</f>
        <v>-2885</v>
      </c>
      <c r="K22" s="23">
        <f>AVERAGE(J19:J22)</f>
        <v>-1355</v>
      </c>
      <c r="L22" s="23"/>
      <c r="M22" s="23">
        <f>-I22+M21</f>
        <v>-35121</v>
      </c>
      <c r="N22" s="23"/>
      <c r="O22" s="23">
        <f>1+O21</f>
        <v>19</v>
      </c>
    </row>
    <row r="23" ht="20.05" customHeight="1">
      <c r="B23" s="30"/>
      <c r="C23" s="22">
        <v>2995</v>
      </c>
      <c r="D23" s="23">
        <v>809.5</v>
      </c>
      <c r="E23" s="23">
        <v>-8361.5</v>
      </c>
      <c r="F23" s="23"/>
      <c r="G23" s="23"/>
      <c r="H23" s="23"/>
      <c r="I23" s="23">
        <v>8054.4</v>
      </c>
      <c r="J23" s="23">
        <f>D23+E23+F23</f>
        <v>-7552</v>
      </c>
      <c r="K23" s="23">
        <f>AVERAGE(J20:J23)</f>
        <v>-3127.5</v>
      </c>
      <c r="L23" s="23"/>
      <c r="M23" s="23">
        <f>-I23+M22</f>
        <v>-43175.4</v>
      </c>
      <c r="N23" s="23"/>
      <c r="O23" s="23">
        <f>1+O22</f>
        <v>20</v>
      </c>
    </row>
    <row r="24" ht="20.05" customHeight="1">
      <c r="B24" s="31">
        <v>2020</v>
      </c>
      <c r="C24" s="22">
        <v>2774</v>
      </c>
      <c r="D24" s="23">
        <v>515.4</v>
      </c>
      <c r="E24" s="23">
        <v>-14147.8</v>
      </c>
      <c r="F24" s="23"/>
      <c r="G24" s="23"/>
      <c r="H24" s="23"/>
      <c r="I24" s="23">
        <v>12832.8</v>
      </c>
      <c r="J24" s="23">
        <f>D24+E24+F24</f>
        <v>-13632.4</v>
      </c>
      <c r="K24" s="23">
        <f>AVERAGE(J21:J24)</f>
        <v>-6114.85</v>
      </c>
      <c r="L24" s="23"/>
      <c r="M24" s="23">
        <f>-I24+M23</f>
        <v>-56008.2</v>
      </c>
      <c r="N24" s="23"/>
      <c r="O24" s="23">
        <f>1+O23</f>
        <v>21</v>
      </c>
    </row>
    <row r="25" ht="20.05" customHeight="1">
      <c r="B25" s="30"/>
      <c r="C25" s="22">
        <v>1528.1</v>
      </c>
      <c r="D25" s="23">
        <v>104.08</v>
      </c>
      <c r="E25" s="23">
        <v>-2748.2</v>
      </c>
      <c r="F25" s="23"/>
      <c r="G25" s="23"/>
      <c r="H25" s="23"/>
      <c r="I25" s="23">
        <v>3031.6</v>
      </c>
      <c r="J25" s="23">
        <f>D25+E25+F25</f>
        <v>-2644.12</v>
      </c>
      <c r="K25" s="23">
        <f>AVERAGE(J22:J25)</f>
        <v>-6678.38</v>
      </c>
      <c r="L25" s="23"/>
      <c r="M25" s="23">
        <f>-I25+M24</f>
        <v>-59039.8</v>
      </c>
      <c r="N25" s="23"/>
      <c r="O25" s="23">
        <f>1+O24</f>
        <v>22</v>
      </c>
    </row>
    <row r="26" ht="20.05" customHeight="1">
      <c r="B26" s="30"/>
      <c r="C26" s="22">
        <v>1752.9</v>
      </c>
      <c r="D26" s="23">
        <v>676.52</v>
      </c>
      <c r="E26" s="23">
        <v>-2078</v>
      </c>
      <c r="F26" s="23"/>
      <c r="G26" s="23"/>
      <c r="H26" s="23"/>
      <c r="I26" s="23">
        <v>2516.6</v>
      </c>
      <c r="J26" s="23">
        <f>D26+E26+F26</f>
        <v>-1401.48</v>
      </c>
      <c r="K26" s="23">
        <f>AVERAGE(J23:J26)</f>
        <v>-6307.5</v>
      </c>
      <c r="L26" s="23"/>
      <c r="M26" s="23">
        <f>-I26+M25</f>
        <v>-61556.4</v>
      </c>
      <c r="N26" s="23"/>
      <c r="O26" s="23">
        <f>1+O25</f>
        <v>23</v>
      </c>
    </row>
    <row r="27" ht="20.05" customHeight="1">
      <c r="B27" s="30"/>
      <c r="C27" s="22">
        <v>2432</v>
      </c>
      <c r="D27" s="23">
        <v>145</v>
      </c>
      <c r="E27" s="23">
        <v>-5209</v>
      </c>
      <c r="F27" s="23"/>
      <c r="G27" s="23"/>
      <c r="H27" s="23"/>
      <c r="I27" s="23">
        <v>4617</v>
      </c>
      <c r="J27" s="23">
        <f>D27+E27+F27</f>
        <v>-5064</v>
      </c>
      <c r="K27" s="23">
        <f>AVERAGE(J24:J27)</f>
        <v>-5685.5</v>
      </c>
      <c r="L27" s="23"/>
      <c r="M27" s="23">
        <f>-I27+M26</f>
        <v>-66173.399999999994</v>
      </c>
      <c r="N27" s="23"/>
      <c r="O27" s="23">
        <f>1+O26</f>
        <v>24</v>
      </c>
    </row>
    <row r="28" ht="20.05" customHeight="1">
      <c r="B28" s="31">
        <v>2021</v>
      </c>
      <c r="C28" s="22">
        <v>2384.2</v>
      </c>
      <c r="D28" s="23">
        <v>622.1</v>
      </c>
      <c r="E28" s="23">
        <v>-1875.7</v>
      </c>
      <c r="F28" s="23">
        <v>-15</v>
      </c>
      <c r="G28" s="23"/>
      <c r="H28" s="23"/>
      <c r="I28" s="23">
        <f>2022.1</f>
        <v>2022.1</v>
      </c>
      <c r="J28" s="23">
        <f>D28+E28+F28</f>
        <v>-1268.6</v>
      </c>
      <c r="K28" s="23">
        <f>AVERAGE(J25:J28)</f>
        <v>-2594.55</v>
      </c>
      <c r="L28" s="23"/>
      <c r="M28" s="23">
        <f>-I28+M27</f>
        <v>-68195.5</v>
      </c>
      <c r="N28" s="23"/>
      <c r="O28" s="23">
        <f>1+O27</f>
        <v>25</v>
      </c>
    </row>
    <row r="29" ht="20.05" customHeight="1">
      <c r="B29" s="30"/>
      <c r="C29" s="22">
        <v>2635.8</v>
      </c>
      <c r="D29" s="23">
        <v>1121.9</v>
      </c>
      <c r="E29" s="23">
        <v>-901.3</v>
      </c>
      <c r="F29" s="23">
        <v>-15</v>
      </c>
      <c r="G29" s="23"/>
      <c r="H29" s="23"/>
      <c r="I29" s="23">
        <v>-1494.1</v>
      </c>
      <c r="J29" s="23">
        <f>D29+E29+F29</f>
        <v>205.6</v>
      </c>
      <c r="K29" s="23">
        <f>AVERAGE(J26:J29)</f>
        <v>-1882.12</v>
      </c>
      <c r="L29" s="23"/>
      <c r="M29" s="23">
        <f>-I29+M28</f>
        <v>-66701.399999999994</v>
      </c>
      <c r="N29" s="23"/>
      <c r="O29" s="23">
        <f>1+O28</f>
        <v>26</v>
      </c>
    </row>
    <row r="30" ht="20.05" customHeight="1">
      <c r="B30" s="30"/>
      <c r="C30" s="22">
        <f>7288.6-SUM(C28:C29)</f>
        <v>2268.6</v>
      </c>
      <c r="D30" s="23">
        <f>2045.6-SUM(D28:D29)</f>
        <v>301.6</v>
      </c>
      <c r="E30" s="23">
        <f>-3866-SUM(E28:E29)</f>
        <v>-1089</v>
      </c>
      <c r="F30" s="23">
        <v>-15</v>
      </c>
      <c r="G30" s="23">
        <f>4936-3284-1300-70+22-G29-G28</f>
        <v>304</v>
      </c>
      <c r="H30" s="23">
        <f>519-H29-H28</f>
        <v>519</v>
      </c>
      <c r="I30" s="23">
        <f>1097.6-SUM(I28:I29)</f>
        <v>569.6</v>
      </c>
      <c r="J30" s="23">
        <f>D30+E30+F30</f>
        <v>-802.4</v>
      </c>
      <c r="K30" s="23">
        <f>AVERAGE(J27:J30)</f>
        <v>-1732.35</v>
      </c>
      <c r="L30" s="23"/>
      <c r="M30" s="23">
        <f>-(G30+H30)+M29</f>
        <v>-67524.399999999994</v>
      </c>
      <c r="N30" s="23"/>
      <c r="O30" s="23">
        <f>1+O29</f>
        <v>27</v>
      </c>
    </row>
    <row r="31" ht="20.05" customHeight="1">
      <c r="B31" s="30"/>
      <c r="C31" s="22">
        <f>10344+986-C30-C29-C28</f>
        <v>4041.4</v>
      </c>
      <c r="D31" s="23">
        <f>2767-D30-D29-D28</f>
        <v>721.4</v>
      </c>
      <c r="E31" s="23">
        <f>-4363-E30-E29-E28</f>
        <v>-497</v>
      </c>
      <c r="F31" s="23">
        <v>-15</v>
      </c>
      <c r="G31" s="23">
        <f>17980-14757-530-81-163-G30-G29-G28</f>
        <v>2145</v>
      </c>
      <c r="H31" s="23">
        <f>602-H30-H29-H28</f>
        <v>83</v>
      </c>
      <c r="I31" s="23">
        <f>3447-I30-I29-I28</f>
        <v>2349.4</v>
      </c>
      <c r="J31" s="23">
        <f>D31+E31+F31</f>
        <v>209.4</v>
      </c>
      <c r="K31" s="23">
        <f>AVERAGE(J28:J31)</f>
        <v>-414</v>
      </c>
      <c r="L31" s="23"/>
      <c r="M31" s="23">
        <f>-(G31+H31)+M30</f>
        <v>-69752.399999999994</v>
      </c>
      <c r="N31" s="23"/>
      <c r="O31" s="23">
        <f>1+O30</f>
        <v>28</v>
      </c>
    </row>
    <row r="32" ht="20.05" customHeight="1">
      <c r="B32" s="31">
        <v>2022</v>
      </c>
      <c r="C32" s="22">
        <v>2936.8</v>
      </c>
      <c r="D32" s="23">
        <v>1622.7</v>
      </c>
      <c r="E32" s="23">
        <v>-493.6</v>
      </c>
      <c r="F32" s="23">
        <v>-14.5</v>
      </c>
      <c r="G32" s="23">
        <f>I32-H32-F32</f>
        <v>-2912.9</v>
      </c>
      <c r="H32" s="23">
        <v>1.4</v>
      </c>
      <c r="I32" s="23">
        <v>-2926</v>
      </c>
      <c r="J32" s="23">
        <f>D32+E32+F32</f>
        <v>1114.6</v>
      </c>
      <c r="K32" s="23">
        <f>AVERAGE(J29:J32)</f>
        <v>181.8</v>
      </c>
      <c r="L32" s="23">
        <v>530.82050875</v>
      </c>
      <c r="M32" s="23">
        <f>-(G32+H32)+M31</f>
        <v>-66840.899999999994</v>
      </c>
      <c r="N32" s="23">
        <v>-67913.56931625</v>
      </c>
      <c r="O32" s="23">
        <f>1+O31</f>
        <v>29</v>
      </c>
    </row>
    <row r="33" ht="20.05" customHeight="1">
      <c r="B33" s="30"/>
      <c r="C33" s="22"/>
      <c r="D33" s="23"/>
      <c r="E33" s="23"/>
      <c r="F33" s="23"/>
      <c r="G33" s="23"/>
      <c r="H33" s="23"/>
      <c r="I33" s="23"/>
      <c r="J33" s="23"/>
      <c r="K33" s="32"/>
      <c r="L33" s="23">
        <f>SUM('Model'!F9:F10)</f>
        <v>319.70333525</v>
      </c>
      <c r="M33" s="32"/>
      <c r="N33" s="23">
        <f>'Model'!F34</f>
        <v>-65628.96805225</v>
      </c>
      <c r="O33" s="32"/>
    </row>
    <row r="34" ht="20.05" customHeight="1">
      <c r="B34" s="30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ht="20.05" customHeight="1">
      <c r="B35" s="30"/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</sheetData>
  <mergeCells count="1">
    <mergeCell ref="B2:O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82031" style="40" customWidth="1"/>
    <col min="2" max="2" width="10.3047" style="40" customWidth="1"/>
    <col min="3" max="11" width="10.7266" style="40" customWidth="1"/>
    <col min="12" max="16384" width="16.3516" style="40" customWidth="1"/>
  </cols>
  <sheetData>
    <row r="1" ht="27" customHeight="1"/>
    <row r="2" ht="27.65" customHeight="1">
      <c r="B2" t="s" s="2">
        <v>23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44</v>
      </c>
      <c r="C3" t="s" s="5">
        <v>57</v>
      </c>
      <c r="D3" t="s" s="5">
        <v>58</v>
      </c>
      <c r="E3" t="s" s="5">
        <v>24</v>
      </c>
      <c r="F3" t="s" s="5">
        <v>20</v>
      </c>
      <c r="G3" t="s" s="5">
        <v>11</v>
      </c>
      <c r="H3" t="s" s="5">
        <v>53</v>
      </c>
      <c r="I3" t="s" s="5">
        <v>59</v>
      </c>
      <c r="J3" t="s" s="5">
        <v>60</v>
      </c>
      <c r="K3" t="s" s="5">
        <v>35</v>
      </c>
    </row>
    <row r="4" ht="20.25" customHeight="1">
      <c r="B4" s="25">
        <v>2015</v>
      </c>
      <c r="C4" s="38">
        <v>2917</v>
      </c>
      <c r="D4" s="28">
        <v>31690</v>
      </c>
      <c r="E4" s="28">
        <f>D4-C4</f>
        <v>28773</v>
      </c>
      <c r="F4" s="28">
        <f>'Sales'!E4</f>
        <v>184.5</v>
      </c>
      <c r="G4" s="28">
        <v>20831</v>
      </c>
      <c r="H4" s="28">
        <v>10859</v>
      </c>
      <c r="I4" s="28">
        <f>G4+H4-C4-E4</f>
        <v>0</v>
      </c>
      <c r="J4" s="28">
        <f>C4-G4</f>
        <v>-17914</v>
      </c>
      <c r="K4" s="28"/>
    </row>
    <row r="5" ht="20.05" customHeight="1">
      <c r="B5" s="30"/>
      <c r="C5" s="22">
        <v>2759</v>
      </c>
      <c r="D5" s="23">
        <v>32678</v>
      </c>
      <c r="E5" s="23">
        <f>D5-C5</f>
        <v>29919</v>
      </c>
      <c r="F5" s="23">
        <f>F4+'Sales'!E5</f>
        <v>369</v>
      </c>
      <c r="G5" s="23">
        <v>21377</v>
      </c>
      <c r="H5" s="23">
        <v>11300</v>
      </c>
      <c r="I5" s="23">
        <f>G5+H5-C5-E5</f>
        <v>-1</v>
      </c>
      <c r="J5" s="23">
        <f>C5-G5</f>
        <v>-18618</v>
      </c>
      <c r="K5" s="23"/>
    </row>
    <row r="6" ht="20.05" customHeight="1">
      <c r="B6" s="30"/>
      <c r="C6" s="22">
        <v>2498</v>
      </c>
      <c r="D6" s="23">
        <v>33166</v>
      </c>
      <c r="E6" s="23">
        <f>D6-C6</f>
        <v>30668</v>
      </c>
      <c r="F6" s="23">
        <f>F5+'Sales'!E6</f>
        <v>553.5</v>
      </c>
      <c r="G6" s="23">
        <v>21566</v>
      </c>
      <c r="H6" s="23">
        <v>11600</v>
      </c>
      <c r="I6" s="23">
        <f>G6+H6-C6-E6</f>
        <v>0</v>
      </c>
      <c r="J6" s="23">
        <f>C6-G6</f>
        <v>-19068</v>
      </c>
      <c r="K6" s="23"/>
    </row>
    <row r="7" ht="20.05" customHeight="1">
      <c r="B7" s="30"/>
      <c r="C7" s="22">
        <v>3323</v>
      </c>
      <c r="D7" s="23">
        <v>36725</v>
      </c>
      <c r="E7" s="23">
        <f>D7-C7</f>
        <v>33402</v>
      </c>
      <c r="F7" s="23">
        <f>F6+'Sales'!E7</f>
        <v>738</v>
      </c>
      <c r="G7" s="23">
        <v>24357</v>
      </c>
      <c r="H7" s="23">
        <v>12369</v>
      </c>
      <c r="I7" s="23">
        <f>G7+H7-C7-E7</f>
        <v>1</v>
      </c>
      <c r="J7" s="23">
        <f>C7-G7</f>
        <v>-21034</v>
      </c>
      <c r="K7" s="23"/>
    </row>
    <row r="8" ht="20.05" customHeight="1">
      <c r="B8" s="31">
        <v>2016</v>
      </c>
      <c r="C8" s="22">
        <v>3407</v>
      </c>
      <c r="D8" s="23">
        <v>36878</v>
      </c>
      <c r="E8" s="23">
        <f>D8-C8</f>
        <v>33471</v>
      </c>
      <c r="F8" s="23">
        <f>F7+'Sales'!E8</f>
        <v>931</v>
      </c>
      <c r="G8" s="23">
        <v>24314</v>
      </c>
      <c r="H8" s="23">
        <v>12563</v>
      </c>
      <c r="I8" s="23">
        <f>G8+H8-C8-E8</f>
        <v>-1</v>
      </c>
      <c r="J8" s="23">
        <f>C8-G8</f>
        <v>-20907</v>
      </c>
      <c r="K8" s="23"/>
    </row>
    <row r="9" ht="20.05" customHeight="1">
      <c r="B9" s="30"/>
      <c r="C9" s="22">
        <v>4047</v>
      </c>
      <c r="D9" s="23">
        <v>40213</v>
      </c>
      <c r="E9" s="23">
        <f>D9-C9</f>
        <v>36166</v>
      </c>
      <c r="F9" s="23">
        <f>F8+'Sales'!E9</f>
        <v>1139</v>
      </c>
      <c r="G9" s="23">
        <v>26812</v>
      </c>
      <c r="H9" s="23">
        <v>13401</v>
      </c>
      <c r="I9" s="23">
        <f>G9+H9-C9-E9</f>
        <v>0</v>
      </c>
      <c r="J9" s="23">
        <f>C9-G9</f>
        <v>-22765</v>
      </c>
      <c r="K9" s="23"/>
    </row>
    <row r="10" ht="20.05" customHeight="1">
      <c r="B10" s="30"/>
      <c r="C10" s="22">
        <v>2650</v>
      </c>
      <c r="D10" s="23">
        <v>42586</v>
      </c>
      <c r="E10" s="23">
        <f>D10-C10</f>
        <v>39936</v>
      </c>
      <c r="F10" s="23">
        <f>F9+'Sales'!E10</f>
        <v>1333</v>
      </c>
      <c r="G10" s="23">
        <v>28690</v>
      </c>
      <c r="H10" s="23">
        <v>13895</v>
      </c>
      <c r="I10" s="23">
        <f>G10+H10-C10-E10</f>
        <v>-1</v>
      </c>
      <c r="J10" s="23">
        <f>C10-G10</f>
        <v>-26040</v>
      </c>
      <c r="K10" s="23"/>
    </row>
    <row r="11" ht="20.05" customHeight="1">
      <c r="B11" s="30"/>
      <c r="C11" s="22">
        <v>4125</v>
      </c>
      <c r="D11" s="23">
        <v>53500</v>
      </c>
      <c r="E11" s="23">
        <f>D11-C11</f>
        <v>49375</v>
      </c>
      <c r="F11" s="23">
        <f>F10+'Sales'!E11</f>
        <v>1616</v>
      </c>
      <c r="G11" s="23">
        <v>37161</v>
      </c>
      <c r="H11" s="23">
        <v>16339</v>
      </c>
      <c r="I11" s="23">
        <f>G11+H11-C11-E11</f>
        <v>0</v>
      </c>
      <c r="J11" s="23">
        <f>C11-G11</f>
        <v>-33036</v>
      </c>
      <c r="K11" s="23"/>
    </row>
    <row r="12" ht="20.05" customHeight="1">
      <c r="B12" s="31">
        <v>2017</v>
      </c>
      <c r="C12" s="22">
        <v>4320</v>
      </c>
      <c r="D12" s="23">
        <v>59282</v>
      </c>
      <c r="E12" s="23">
        <f>D12-C12</f>
        <v>54962</v>
      </c>
      <c r="F12" s="23">
        <f>F11+'Sales'!E12</f>
        <v>1838</v>
      </c>
      <c r="G12" s="23">
        <v>42871</v>
      </c>
      <c r="H12" s="23">
        <v>16411</v>
      </c>
      <c r="I12" s="23">
        <f>G12+H12-C12-E12</f>
        <v>0</v>
      </c>
      <c r="J12" s="23">
        <f>C12-G12</f>
        <v>-38551</v>
      </c>
      <c r="K12" s="23"/>
    </row>
    <row r="13" ht="20.05" customHeight="1">
      <c r="B13" s="30"/>
      <c r="C13" s="22">
        <v>4845</v>
      </c>
      <c r="D13" s="23">
        <v>65812</v>
      </c>
      <c r="E13" s="23">
        <f>D13-C13</f>
        <v>60967</v>
      </c>
      <c r="F13" s="23">
        <f>F12+'Sales'!E13</f>
        <v>2048</v>
      </c>
      <c r="G13" s="23">
        <v>47954</v>
      </c>
      <c r="H13" s="23">
        <v>17858</v>
      </c>
      <c r="I13" s="23">
        <f>G13+H13-C13-E13</f>
        <v>0</v>
      </c>
      <c r="J13" s="23">
        <f>C13-G13</f>
        <v>-43109</v>
      </c>
      <c r="K13" s="23"/>
    </row>
    <row r="14" ht="20.05" customHeight="1">
      <c r="B14" s="30"/>
      <c r="C14" s="22">
        <v>7073</v>
      </c>
      <c r="D14" s="23">
        <v>68722</v>
      </c>
      <c r="E14" s="23">
        <f>D14-C14</f>
        <v>61649</v>
      </c>
      <c r="F14" s="23">
        <f>F13+'Sales'!E14</f>
        <v>2283</v>
      </c>
      <c r="G14" s="23">
        <v>50951</v>
      </c>
      <c r="H14" s="23">
        <v>17770</v>
      </c>
      <c r="I14" s="23">
        <f>G14+H14-C14-E14</f>
        <v>-1</v>
      </c>
      <c r="J14" s="23">
        <f>C14-G14</f>
        <v>-43878</v>
      </c>
      <c r="K14" s="23"/>
    </row>
    <row r="15" ht="20.05" customHeight="1">
      <c r="B15" s="30"/>
      <c r="C15" s="22">
        <v>6873</v>
      </c>
      <c r="D15" s="23">
        <v>79193</v>
      </c>
      <c r="E15" s="23">
        <f>D15-C15</f>
        <v>72320</v>
      </c>
      <c r="F15" s="23">
        <f>F14+'Sales'!E15</f>
        <v>2621</v>
      </c>
      <c r="G15" s="23">
        <v>60833</v>
      </c>
      <c r="H15" s="23">
        <v>18359</v>
      </c>
      <c r="I15" s="23">
        <f>G15+H15-C15-E15</f>
        <v>-1</v>
      </c>
      <c r="J15" s="23">
        <f>C15-G15</f>
        <v>-53960</v>
      </c>
      <c r="K15" s="23"/>
    </row>
    <row r="16" ht="20.05" customHeight="1">
      <c r="B16" s="31">
        <v>2018</v>
      </c>
      <c r="C16" s="22">
        <v>6594</v>
      </c>
      <c r="D16" s="23">
        <v>84421</v>
      </c>
      <c r="E16" s="23">
        <f>D16-C16</f>
        <v>77827</v>
      </c>
      <c r="F16" s="23">
        <f>F15+'Sales'!E16</f>
        <v>2847</v>
      </c>
      <c r="G16" s="23">
        <v>65510</v>
      </c>
      <c r="H16" s="23">
        <v>18911</v>
      </c>
      <c r="I16" s="23">
        <f>G16+H16-C16-E16</f>
        <v>0</v>
      </c>
      <c r="J16" s="23">
        <f>C16-G16</f>
        <v>-58916</v>
      </c>
      <c r="K16" s="23"/>
    </row>
    <row r="17" ht="20.05" customHeight="1">
      <c r="B17" s="30"/>
      <c r="C17" s="22">
        <v>4576</v>
      </c>
      <c r="D17" s="23">
        <v>87476</v>
      </c>
      <c r="E17" s="23">
        <f>D17-C17</f>
        <v>82900</v>
      </c>
      <c r="F17" s="23">
        <f>F16+'Sales'!E17</f>
        <v>3099</v>
      </c>
      <c r="G17" s="23">
        <v>68174</v>
      </c>
      <c r="H17" s="23">
        <v>19302</v>
      </c>
      <c r="I17" s="23">
        <f>G17+H17-C17-E17</f>
        <v>0</v>
      </c>
      <c r="J17" s="23">
        <f>C17-G17</f>
        <v>-63598</v>
      </c>
      <c r="K17" s="23"/>
    </row>
    <row r="18" ht="20.05" customHeight="1">
      <c r="B18" s="30"/>
      <c r="C18" s="22">
        <v>3835</v>
      </c>
      <c r="D18" s="23">
        <v>75504</v>
      </c>
      <c r="E18" s="23">
        <f>D18-C18</f>
        <v>71669</v>
      </c>
      <c r="F18" s="23">
        <f>F17+'Sales'!E18</f>
        <v>3265.48</v>
      </c>
      <c r="G18" s="23">
        <v>56655</v>
      </c>
      <c r="H18" s="23">
        <v>18849</v>
      </c>
      <c r="I18" s="23">
        <f>G18+H18-C18-E18</f>
        <v>0</v>
      </c>
      <c r="J18" s="23">
        <f>C18-G18</f>
        <v>-52820</v>
      </c>
      <c r="K18" s="23"/>
    </row>
    <row r="19" ht="20.05" customHeight="1">
      <c r="B19" s="30"/>
      <c r="C19" s="22">
        <v>5943</v>
      </c>
      <c r="D19" s="23">
        <v>82419</v>
      </c>
      <c r="E19" s="23">
        <f>D19-C19</f>
        <v>76476</v>
      </c>
      <c r="F19" s="23">
        <f>F18+'Sales'!E19</f>
        <v>3716</v>
      </c>
      <c r="G19" s="23">
        <v>62219</v>
      </c>
      <c r="H19" s="23">
        <v>20199</v>
      </c>
      <c r="I19" s="23">
        <f>G19+H19-C19-E19</f>
        <v>-1</v>
      </c>
      <c r="J19" s="23">
        <f>C19-G19</f>
        <v>-56276</v>
      </c>
      <c r="K19" s="23"/>
    </row>
    <row r="20" ht="20.05" customHeight="1">
      <c r="B20" s="31">
        <v>2019</v>
      </c>
      <c r="C20" s="22">
        <v>4379</v>
      </c>
      <c r="D20" s="23">
        <v>86188</v>
      </c>
      <c r="E20" s="23">
        <f>D20-C20</f>
        <v>81809</v>
      </c>
      <c r="F20" s="23">
        <f>F19+'Sales'!E20</f>
        <v>3999</v>
      </c>
      <c r="G20" s="23">
        <v>65386</v>
      </c>
      <c r="H20" s="23">
        <v>20802</v>
      </c>
      <c r="I20" s="23">
        <f>G20+H20-C20-E20</f>
        <v>0</v>
      </c>
      <c r="J20" s="23">
        <f>C20-G20</f>
        <v>-61007</v>
      </c>
      <c r="K20" s="23"/>
    </row>
    <row r="21" ht="20.05" customHeight="1">
      <c r="B21" s="30"/>
      <c r="C21" s="22">
        <v>4559</v>
      </c>
      <c r="D21" s="23">
        <v>89670</v>
      </c>
      <c r="E21" s="23">
        <f>D21-C21</f>
        <v>85111</v>
      </c>
      <c r="F21" s="23">
        <f>F20+'Sales'!E21</f>
        <v>4359</v>
      </c>
      <c r="G21" s="23">
        <v>68302</v>
      </c>
      <c r="H21" s="23">
        <v>21369</v>
      </c>
      <c r="I21" s="23">
        <f>G21+H21-C21-E21</f>
        <v>1</v>
      </c>
      <c r="J21" s="23">
        <f>C21-G21</f>
        <v>-63743</v>
      </c>
      <c r="K21" s="23"/>
    </row>
    <row r="22" ht="20.05" customHeight="1">
      <c r="B22" s="30"/>
      <c r="C22" s="22">
        <v>3886</v>
      </c>
      <c r="D22" s="23">
        <v>94273</v>
      </c>
      <c r="E22" s="23">
        <f>D22-C22</f>
        <v>90387</v>
      </c>
      <c r="F22" s="23">
        <f>F21+'Sales'!E22</f>
        <v>4650</v>
      </c>
      <c r="G22" s="23">
        <v>72001</v>
      </c>
      <c r="H22" s="23">
        <v>22272</v>
      </c>
      <c r="I22" s="23">
        <f>G22+H22-C22-E22</f>
        <v>0</v>
      </c>
      <c r="J22" s="23">
        <f>C22-G22</f>
        <v>-68115</v>
      </c>
      <c r="K22" s="23"/>
    </row>
    <row r="23" ht="20.05" customHeight="1">
      <c r="B23" s="30"/>
      <c r="C23" s="22">
        <v>4341.6</v>
      </c>
      <c r="D23" s="23">
        <v>99679</v>
      </c>
      <c r="E23" s="23">
        <f>D23-C23</f>
        <v>95337.399999999994</v>
      </c>
      <c r="F23" s="23">
        <f>F22+'Sales'!E23</f>
        <v>5144</v>
      </c>
      <c r="G23" s="23">
        <v>76493.8</v>
      </c>
      <c r="H23" s="23">
        <v>23185.7</v>
      </c>
      <c r="I23" s="23">
        <f>G23+H23-C23-E23</f>
        <v>0.5</v>
      </c>
      <c r="J23" s="23">
        <f>C23-G23</f>
        <v>-72152.2</v>
      </c>
      <c r="K23" s="23"/>
    </row>
    <row r="24" ht="20.05" customHeight="1">
      <c r="B24" s="31">
        <v>2020</v>
      </c>
      <c r="C24" s="22">
        <v>3542</v>
      </c>
      <c r="D24" s="23">
        <v>101101.8</v>
      </c>
      <c r="E24" s="23">
        <f>D24-C24</f>
        <v>97559.8</v>
      </c>
      <c r="F24" s="23">
        <f>F23+'Sales'!E24</f>
        <v>5477</v>
      </c>
      <c r="G24" s="23">
        <v>76454</v>
      </c>
      <c r="H24" s="23">
        <v>24648</v>
      </c>
      <c r="I24" s="23">
        <f>G24+H24-C24-E24</f>
        <v>0.2</v>
      </c>
      <c r="J24" s="23">
        <f>C24-G24</f>
        <v>-72912</v>
      </c>
      <c r="K24" s="23"/>
    </row>
    <row r="25" ht="20.05" customHeight="1">
      <c r="B25" s="30"/>
      <c r="C25" s="22">
        <v>3929</v>
      </c>
      <c r="D25" s="23">
        <v>102691</v>
      </c>
      <c r="E25" s="23">
        <f>D25-C25</f>
        <v>98762</v>
      </c>
      <c r="F25" s="23">
        <f>F24+'Sales'!E25</f>
        <v>5784</v>
      </c>
      <c r="G25" s="23">
        <v>78591</v>
      </c>
      <c r="H25" s="23">
        <v>24101</v>
      </c>
      <c r="I25" s="23">
        <f>G25+H25-C25-E25</f>
        <v>1</v>
      </c>
      <c r="J25" s="23">
        <f>C25-G25</f>
        <v>-74662</v>
      </c>
      <c r="K25" s="23"/>
    </row>
    <row r="26" ht="20.05" customHeight="1">
      <c r="B26" s="30"/>
      <c r="C26" s="22">
        <v>5044</v>
      </c>
      <c r="D26" s="23">
        <v>103468</v>
      </c>
      <c r="E26" s="23">
        <f>D26-C26</f>
        <v>98424</v>
      </c>
      <c r="F26" s="23">
        <f>F25+'Sales'!E26</f>
        <v>6195</v>
      </c>
      <c r="G26" s="23">
        <v>79355</v>
      </c>
      <c r="H26" s="23">
        <v>24113</v>
      </c>
      <c r="I26" s="23">
        <f>G26+H26-C26-E26</f>
        <v>0</v>
      </c>
      <c r="J26" s="23">
        <f>C26-G26</f>
        <v>-74311</v>
      </c>
      <c r="K26" s="23"/>
    </row>
    <row r="27" ht="20.05" customHeight="1">
      <c r="B27" s="30"/>
      <c r="C27" s="22">
        <v>4597</v>
      </c>
      <c r="D27" s="23">
        <v>104087</v>
      </c>
      <c r="E27" s="23">
        <f>D27-C27</f>
        <v>99490</v>
      </c>
      <c r="F27" s="23">
        <f>10482+237+47+715</f>
        <v>11481</v>
      </c>
      <c r="G27" s="23">
        <v>79311</v>
      </c>
      <c r="H27" s="23">
        <v>24776</v>
      </c>
      <c r="I27" s="23">
        <f>G27+H27-C27-E27</f>
        <v>0</v>
      </c>
      <c r="J27" s="23">
        <f>C27-G27</f>
        <v>-74714</v>
      </c>
      <c r="K27" s="23"/>
    </row>
    <row r="28" ht="20.05" customHeight="1">
      <c r="B28" s="31">
        <v>2021</v>
      </c>
      <c r="C28" s="22">
        <v>5366</v>
      </c>
      <c r="D28" s="23">
        <v>105659</v>
      </c>
      <c r="E28" s="23">
        <f>D28-C28</f>
        <v>100293</v>
      </c>
      <c r="F28" s="23">
        <f>250+53+737+10902</f>
        <v>11942</v>
      </c>
      <c r="G28" s="23">
        <v>80816</v>
      </c>
      <c r="H28" s="23">
        <v>24843</v>
      </c>
      <c r="I28" s="23">
        <f>G28+H28-C28-E28</f>
        <v>0</v>
      </c>
      <c r="J28" s="23">
        <f>C28-G28</f>
        <v>-75450</v>
      </c>
      <c r="K28" s="23"/>
    </row>
    <row r="29" ht="20.05" customHeight="1">
      <c r="B29" s="30"/>
      <c r="C29" s="22">
        <v>3965</v>
      </c>
      <c r="D29" s="23">
        <v>103040</v>
      </c>
      <c r="E29" s="23">
        <f>D29-C29</f>
        <v>99075</v>
      </c>
      <c r="F29" s="23">
        <f>F28+'Sales'!E29</f>
        <v>12596.25</v>
      </c>
      <c r="G29" s="23">
        <v>77720</v>
      </c>
      <c r="H29" s="23">
        <v>25320</v>
      </c>
      <c r="I29" s="23">
        <f>G29+H29-C29-E29</f>
        <v>0</v>
      </c>
      <c r="J29" s="23">
        <f>C29-G29</f>
        <v>-73755</v>
      </c>
      <c r="K29" s="23"/>
    </row>
    <row r="30" ht="20.05" customHeight="1">
      <c r="B30" s="30"/>
      <c r="C30" s="22">
        <v>3747</v>
      </c>
      <c r="D30" s="23">
        <v>105318</v>
      </c>
      <c r="E30" s="23">
        <f>D30-C30</f>
        <v>101571</v>
      </c>
      <c r="F30" s="23">
        <f>268+64+806+11220</f>
        <v>12358</v>
      </c>
      <c r="G30" s="23">
        <v>80037</v>
      </c>
      <c r="H30" s="23">
        <v>25281</v>
      </c>
      <c r="I30" s="23">
        <f>G30+H30-C30-E30</f>
        <v>0</v>
      </c>
      <c r="J30" s="23">
        <f>C30-G30</f>
        <v>-76290</v>
      </c>
      <c r="K30" s="23"/>
    </row>
    <row r="31" ht="20.05" customHeight="1">
      <c r="B31" s="30"/>
      <c r="C31" s="22">
        <v>6279</v>
      </c>
      <c r="D31" s="23">
        <v>101243</v>
      </c>
      <c r="E31" s="23">
        <f>D31-C31</f>
        <v>94964</v>
      </c>
      <c r="F31" s="23">
        <f>F30+'Sales'!F31</f>
        <v>12331.7</v>
      </c>
      <c r="G31" s="23">
        <v>75743</v>
      </c>
      <c r="H31" s="23">
        <f>D31-G31</f>
        <v>25500</v>
      </c>
      <c r="I31" s="23">
        <f>G31+H31-C31-E31</f>
        <v>0</v>
      </c>
      <c r="J31" s="23">
        <f>C31-G31</f>
        <v>-69464</v>
      </c>
      <c r="K31" s="23"/>
    </row>
    <row r="32" ht="20.05" customHeight="1">
      <c r="B32" s="31">
        <v>2022</v>
      </c>
      <c r="C32" s="22">
        <v>4482</v>
      </c>
      <c r="D32" s="23">
        <v>98860</v>
      </c>
      <c r="E32" s="23">
        <f>D32-C32</f>
        <v>94378</v>
      </c>
      <c r="F32" s="23">
        <f>287+58+890+12066</f>
        <v>13301</v>
      </c>
      <c r="G32" s="23">
        <v>73157</v>
      </c>
      <c r="H32" s="23">
        <v>25703</v>
      </c>
      <c r="I32" s="23">
        <f>G32+H32-C32-E32</f>
        <v>0</v>
      </c>
      <c r="J32" s="23">
        <f>C32-G32</f>
        <v>-68675</v>
      </c>
      <c r="K32" s="23">
        <v>-67625.16931625</v>
      </c>
    </row>
    <row r="33" ht="20.05" customHeight="1">
      <c r="B33" s="30"/>
      <c r="C33" s="22"/>
      <c r="D33" s="23"/>
      <c r="E33" s="23"/>
      <c r="F33" s="23"/>
      <c r="G33" s="23"/>
      <c r="H33" s="23"/>
      <c r="I33" s="23"/>
      <c r="J33" s="23"/>
      <c r="K33" s="23">
        <f>'Model'!F32</f>
        <v>-67463.06805225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3.0703" style="41" customWidth="1"/>
    <col min="2" max="2" width="9.9375" style="41" customWidth="1"/>
    <col min="3" max="5" width="10.8281" style="41" customWidth="1"/>
    <col min="6" max="16384" width="16.3516" style="41" customWidth="1"/>
  </cols>
  <sheetData>
    <row r="1" ht="46.95" customHeight="1"/>
    <row r="2" ht="27.65" customHeight="1">
      <c r="B2" t="s" s="2">
        <v>61</v>
      </c>
      <c r="C2" s="2"/>
      <c r="D2" s="2"/>
      <c r="E2" s="2"/>
    </row>
    <row r="3" ht="20.25" customHeight="1">
      <c r="B3" s="4"/>
      <c r="C3" t="s" s="42">
        <v>62</v>
      </c>
      <c r="D3" t="s" s="42">
        <v>63</v>
      </c>
      <c r="E3" t="s" s="42">
        <v>64</v>
      </c>
    </row>
    <row r="4" ht="20.25" customHeight="1">
      <c r="B4" s="25">
        <v>2018</v>
      </c>
      <c r="C4" s="38">
        <v>4580</v>
      </c>
      <c r="D4" s="28"/>
      <c r="E4" s="28"/>
    </row>
    <row r="5" ht="20.05" customHeight="1">
      <c r="B5" s="30"/>
      <c r="C5" s="22">
        <v>4180</v>
      </c>
      <c r="D5" s="23"/>
      <c r="E5" s="23"/>
    </row>
    <row r="6" ht="20.05" customHeight="1">
      <c r="B6" s="30"/>
      <c r="C6" s="22">
        <v>4470</v>
      </c>
      <c r="D6" s="23"/>
      <c r="E6" s="23"/>
    </row>
    <row r="7" ht="20.05" customHeight="1">
      <c r="B7" s="30"/>
      <c r="C7" s="22">
        <v>4280</v>
      </c>
      <c r="D7" s="23"/>
      <c r="E7" s="23"/>
    </row>
    <row r="8" ht="20.05" customHeight="1">
      <c r="B8" s="31">
        <v>2019</v>
      </c>
      <c r="C8" s="22">
        <v>5975</v>
      </c>
      <c r="D8" s="23"/>
      <c r="E8" s="23"/>
    </row>
    <row r="9" ht="20.05" customHeight="1">
      <c r="B9" s="30"/>
      <c r="C9" s="22">
        <v>5725</v>
      </c>
      <c r="D9" s="23"/>
      <c r="E9" s="23"/>
    </row>
    <row r="10" ht="20.05" customHeight="1">
      <c r="B10" s="30"/>
      <c r="C10" s="22">
        <v>5700</v>
      </c>
      <c r="D10" s="23"/>
      <c r="E10" s="23"/>
    </row>
    <row r="11" ht="20.05" customHeight="1">
      <c r="B11" s="30"/>
      <c r="C11" s="22">
        <v>5175</v>
      </c>
      <c r="D11" s="23"/>
      <c r="E11" s="23"/>
    </row>
    <row r="12" ht="20.05" customHeight="1">
      <c r="B12" s="31">
        <v>2020</v>
      </c>
      <c r="C12" s="22">
        <v>2540</v>
      </c>
      <c r="D12" s="23"/>
      <c r="E12" s="23"/>
    </row>
    <row r="13" ht="20.05" customHeight="1">
      <c r="B13" s="30"/>
      <c r="C13" s="22">
        <v>4400</v>
      </c>
      <c r="D13" s="23"/>
      <c r="E13" s="23"/>
    </row>
    <row r="14" ht="20.05" customHeight="1">
      <c r="B14" s="30"/>
      <c r="C14" s="22">
        <v>3610</v>
      </c>
      <c r="D14" s="32"/>
      <c r="E14" s="32"/>
    </row>
    <row r="15" ht="20.05" customHeight="1">
      <c r="B15" s="30"/>
      <c r="C15" s="22">
        <v>4630</v>
      </c>
      <c r="D15" s="32"/>
      <c r="E15" s="32"/>
    </row>
    <row r="16" ht="20.05" customHeight="1">
      <c r="B16" s="31">
        <v>2021</v>
      </c>
      <c r="C16" s="22">
        <v>4040</v>
      </c>
      <c r="D16" s="23"/>
      <c r="E16" s="32"/>
    </row>
    <row r="17" ht="20.05" customHeight="1">
      <c r="B17" s="30"/>
      <c r="C17" s="22">
        <v>3520</v>
      </c>
      <c r="D17" s="23">
        <v>5306.682779456190</v>
      </c>
      <c r="E17" s="32"/>
    </row>
    <row r="18" ht="20.05" customHeight="1">
      <c r="B18" s="30"/>
      <c r="C18" s="22">
        <v>3880</v>
      </c>
      <c r="D18" s="23">
        <v>4577.017894282440</v>
      </c>
      <c r="E18" s="23"/>
    </row>
    <row r="19" ht="20.05" customHeight="1">
      <c r="B19" s="30"/>
      <c r="C19" s="22">
        <v>3890</v>
      </c>
      <c r="D19" s="23">
        <v>4577.017894282440</v>
      </c>
      <c r="E19" s="32"/>
    </row>
    <row r="20" ht="20.05" customHeight="1">
      <c r="B20" s="31">
        <v>2022</v>
      </c>
      <c r="C20" s="22">
        <v>3850</v>
      </c>
      <c r="D20" s="23">
        <v>4419.020787012720</v>
      </c>
      <c r="E20" s="23"/>
    </row>
    <row r="21" ht="20.05" customHeight="1">
      <c r="B21" s="30"/>
      <c r="C21" s="22">
        <v>3780</v>
      </c>
      <c r="D21" s="23">
        <v>4388.233916745430</v>
      </c>
      <c r="E21" s="32"/>
    </row>
    <row r="22" ht="20.05" customHeight="1">
      <c r="B22" s="30"/>
      <c r="C22" s="22"/>
      <c r="D22" s="23">
        <f>'Model'!F45</f>
        <v>4581.116453212370</v>
      </c>
      <c r="E22" s="23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B3:V4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10938" style="43" customWidth="1"/>
    <col min="2" max="11" width="11.8281" style="43" customWidth="1"/>
    <col min="12" max="22" width="11.375" style="44" customWidth="1"/>
    <col min="23" max="16384" width="16.3516" style="44" customWidth="1"/>
  </cols>
  <sheetData>
    <row r="1" ht="8.45" customHeight="1"/>
    <row r="2" ht="27.65" customHeight="1">
      <c r="B2" t="s" s="2">
        <v>29</v>
      </c>
      <c r="C2" s="2"/>
      <c r="D2" s="2"/>
      <c r="E2" s="2"/>
      <c r="F2" s="2"/>
      <c r="G2" s="2"/>
      <c r="H2" s="2"/>
      <c r="I2" s="2"/>
      <c r="J2" s="2"/>
      <c r="K2" s="2"/>
    </row>
    <row r="3" ht="20.25" customHeight="1">
      <c r="B3" t="s" s="5">
        <v>44</v>
      </c>
      <c r="C3" t="s" s="5">
        <v>11</v>
      </c>
      <c r="D3" t="s" s="5">
        <v>53</v>
      </c>
      <c r="E3" t="s" s="5">
        <v>65</v>
      </c>
      <c r="F3" t="s" s="5">
        <v>11</v>
      </c>
      <c r="G3" t="s" s="5">
        <v>53</v>
      </c>
      <c r="H3" t="s" s="5">
        <v>65</v>
      </c>
      <c r="I3" s="4"/>
      <c r="J3" s="4"/>
      <c r="K3" s="4"/>
    </row>
    <row r="4" ht="20.25" customHeight="1">
      <c r="B4" s="25">
        <v>2006</v>
      </c>
      <c r="C4" s="38">
        <f>41-D4</f>
        <v>136</v>
      </c>
      <c r="D4" s="28">
        <v>-95</v>
      </c>
      <c r="E4" s="28">
        <f>C4+D4</f>
        <v>41</v>
      </c>
      <c r="F4" s="28">
        <f>C4</f>
        <v>136</v>
      </c>
      <c r="G4" s="28">
        <f>D4</f>
        <v>-95</v>
      </c>
      <c r="H4" s="28">
        <f>E4</f>
        <v>41</v>
      </c>
      <c r="I4" s="8"/>
      <c r="J4" s="8"/>
      <c r="K4" s="8"/>
    </row>
    <row r="5" ht="20.05" customHeight="1">
      <c r="B5" s="31">
        <f>1+$B4</f>
        <v>2007</v>
      </c>
      <c r="C5" s="22">
        <f>3199-D5</f>
        <v>-235</v>
      </c>
      <c r="D5" s="23">
        <f>3468-34</f>
        <v>3434</v>
      </c>
      <c r="E5" s="23">
        <f>C5+D5</f>
        <v>3199</v>
      </c>
      <c r="F5" s="23">
        <f>C5+F4</f>
        <v>-99</v>
      </c>
      <c r="G5" s="23">
        <f>D5+G4</f>
        <v>3339</v>
      </c>
      <c r="H5" s="23">
        <f>E5+H4</f>
        <v>3240</v>
      </c>
      <c r="I5" s="32"/>
      <c r="J5" s="32"/>
      <c r="K5" s="32"/>
    </row>
    <row r="6" ht="20.05" customHeight="1">
      <c r="B6" s="31">
        <f>1+$B5</f>
        <v>2008</v>
      </c>
      <c r="C6" s="22">
        <f>-467-D6</f>
        <v>-413</v>
      </c>
      <c r="D6" s="23">
        <f>-106-6+58</f>
        <v>-54</v>
      </c>
      <c r="E6" s="23">
        <f>C6+D6</f>
        <v>-467</v>
      </c>
      <c r="F6" s="23">
        <f>C6+F5</f>
        <v>-512</v>
      </c>
      <c r="G6" s="23">
        <f>D6+G5</f>
        <v>3285</v>
      </c>
      <c r="H6" s="23">
        <f>E6+H5</f>
        <v>2773</v>
      </c>
      <c r="I6" s="32"/>
      <c r="J6" s="32"/>
      <c r="K6" s="32"/>
    </row>
    <row r="7" ht="20.05" customHeight="1">
      <c r="B7" s="31">
        <f>1+$B6</f>
        <v>2009</v>
      </c>
      <c r="C7" s="22">
        <f>-57-D7</f>
        <v>341</v>
      </c>
      <c r="D7" s="23">
        <f>-382-16</f>
        <v>-398</v>
      </c>
      <c r="E7" s="23">
        <f>C7+D7</f>
        <v>-57</v>
      </c>
      <c r="F7" s="23">
        <f>C7+F6</f>
        <v>-171</v>
      </c>
      <c r="G7" s="23">
        <f>D7+G6</f>
        <v>2887</v>
      </c>
      <c r="H7" s="23">
        <f>E7+H6</f>
        <v>2716</v>
      </c>
      <c r="I7" s="32"/>
      <c r="J7" s="32"/>
      <c r="K7" s="32"/>
    </row>
    <row r="8" ht="20.05" customHeight="1">
      <c r="B8" s="31">
        <f>1+$B7</f>
        <v>2010</v>
      </c>
      <c r="C8" s="22">
        <f>945-D8</f>
        <v>1536</v>
      </c>
      <c r="D8" s="23">
        <f>-657+66</f>
        <v>-591</v>
      </c>
      <c r="E8" s="23">
        <f>C8+D8</f>
        <v>945</v>
      </c>
      <c r="F8" s="23">
        <f>C8+F7</f>
        <v>1365</v>
      </c>
      <c r="G8" s="23">
        <f>D8+G7</f>
        <v>2296</v>
      </c>
      <c r="H8" s="23">
        <f>E8+H7</f>
        <v>3661</v>
      </c>
      <c r="I8" s="32"/>
      <c r="J8" s="32"/>
      <c r="K8" s="32"/>
    </row>
    <row r="9" ht="20.05" customHeight="1">
      <c r="B9" s="31">
        <f>1+$B8</f>
        <v>2011</v>
      </c>
      <c r="C9" s="22">
        <f>206-D9</f>
        <v>645</v>
      </c>
      <c r="D9" s="23">
        <f>313-752</f>
        <v>-439</v>
      </c>
      <c r="E9" s="23">
        <f>C9+D9</f>
        <v>206</v>
      </c>
      <c r="F9" s="23">
        <f>C9+F8</f>
        <v>2010</v>
      </c>
      <c r="G9" s="23">
        <f>D9+G8</f>
        <v>1857</v>
      </c>
      <c r="H9" s="23">
        <f>E9+H8</f>
        <v>3867</v>
      </c>
      <c r="I9" s="32"/>
      <c r="J9" s="32"/>
      <c r="K9" s="32"/>
    </row>
    <row r="10" ht="20.05" customHeight="1">
      <c r="B10" s="31">
        <f>1+$B9</f>
        <v>2012</v>
      </c>
      <c r="C10" s="22">
        <f>1411-D10</f>
        <v>1520</v>
      </c>
      <c r="D10" s="23">
        <f>131+323-563</f>
        <v>-109</v>
      </c>
      <c r="E10" s="23">
        <f>C10+D10</f>
        <v>1411</v>
      </c>
      <c r="F10" s="23">
        <f>C10+F9</f>
        <v>3530</v>
      </c>
      <c r="G10" s="23">
        <f>D10+G9</f>
        <v>1748</v>
      </c>
      <c r="H10" s="23">
        <f>E10+H9</f>
        <v>5278</v>
      </c>
      <c r="I10" s="32"/>
      <c r="J10" s="32"/>
      <c r="K10" s="32"/>
    </row>
    <row r="11" ht="20.05" customHeight="1">
      <c r="B11" s="31">
        <f>1+$B10</f>
        <v>2013</v>
      </c>
      <c r="C11" s="22">
        <f>1589-D11</f>
        <v>1315</v>
      </c>
      <c r="D11" s="23">
        <f>814+101-641</f>
        <v>274</v>
      </c>
      <c r="E11" s="23">
        <f>C11+D11</f>
        <v>1589</v>
      </c>
      <c r="F11" s="23">
        <f>C11+F10</f>
        <v>4845</v>
      </c>
      <c r="G11" s="23">
        <f>D11+G10</f>
        <v>2022</v>
      </c>
      <c r="H11" s="23">
        <f>E11+H10</f>
        <v>6867</v>
      </c>
      <c r="I11" s="32"/>
      <c r="J11" s="32"/>
      <c r="K11" s="32"/>
    </row>
    <row r="12" ht="20.05" customHeight="1">
      <c r="B12" s="31">
        <f>1+$B11</f>
        <v>2014</v>
      </c>
      <c r="C12" s="22">
        <f>1577-D12</f>
        <v>1929</v>
      </c>
      <c r="D12" s="23">
        <f>185-537</f>
        <v>-352</v>
      </c>
      <c r="E12" s="23">
        <f>C12+D12</f>
        <v>1577</v>
      </c>
      <c r="F12" s="23">
        <f>C12+F11</f>
        <v>6774</v>
      </c>
      <c r="G12" s="23">
        <f>D12+G11</f>
        <v>1670</v>
      </c>
      <c r="H12" s="23">
        <f>E12+H11</f>
        <v>8444</v>
      </c>
      <c r="I12" s="32"/>
      <c r="J12" s="32"/>
      <c r="K12" s="32"/>
    </row>
    <row r="13" ht="20.05" customHeight="1">
      <c r="B13" s="31">
        <f>1+$B12</f>
        <v>2015</v>
      </c>
      <c r="C13" s="22">
        <f>2332-D13</f>
        <v>2286</v>
      </c>
      <c r="D13" s="23">
        <f>537-491</f>
        <v>46</v>
      </c>
      <c r="E13" s="23">
        <f>C13+D13</f>
        <v>2332</v>
      </c>
      <c r="F13" s="23">
        <f>C13+F12</f>
        <v>9060</v>
      </c>
      <c r="G13" s="23">
        <f>D13+G12</f>
        <v>1716</v>
      </c>
      <c r="H13" s="23">
        <f>E13+H12</f>
        <v>10776</v>
      </c>
      <c r="I13" s="32"/>
      <c r="J13" s="32"/>
      <c r="K13" s="32"/>
    </row>
    <row r="14" ht="20.05" customHeight="1">
      <c r="B14" s="31">
        <f>1+$B13</f>
        <v>2016</v>
      </c>
      <c r="C14" s="22">
        <f>12461-D14</f>
        <v>10185</v>
      </c>
      <c r="D14" s="23">
        <f>-293+797+1772</f>
        <v>2276</v>
      </c>
      <c r="E14" s="23">
        <f>C14+D14</f>
        <v>12461</v>
      </c>
      <c r="F14" s="23">
        <f>C14+F13</f>
        <v>19245</v>
      </c>
      <c r="G14" s="23">
        <f>D14+G13</f>
        <v>3992</v>
      </c>
      <c r="H14" s="23">
        <f>E14+H13</f>
        <v>23237</v>
      </c>
      <c r="I14" s="32"/>
      <c r="J14" s="32"/>
      <c r="K14" s="32"/>
    </row>
    <row r="15" ht="20.05" customHeight="1">
      <c r="B15" s="31">
        <f>1+$B14</f>
        <v>2017</v>
      </c>
      <c r="C15" s="22">
        <f>11185-D15</f>
        <v>11358</v>
      </c>
      <c r="D15" s="23">
        <f>394-567</f>
        <v>-173</v>
      </c>
      <c r="E15" s="23">
        <f>C15+D15</f>
        <v>11185</v>
      </c>
      <c r="F15" s="23">
        <f>C15+F14</f>
        <v>30603</v>
      </c>
      <c r="G15" s="23">
        <f>D15+G14</f>
        <v>3819</v>
      </c>
      <c r="H15" s="23">
        <f>E15+H14</f>
        <v>34422</v>
      </c>
      <c r="I15" s="32"/>
      <c r="J15" s="32"/>
      <c r="K15" s="32"/>
    </row>
    <row r="16" ht="20.05" customHeight="1">
      <c r="B16" s="31">
        <f>1+$B15</f>
        <v>2018</v>
      </c>
      <c r="C16" s="22">
        <f>6214-D16</f>
        <v>5458</v>
      </c>
      <c r="D16" s="23">
        <f>1196-440</f>
        <v>756</v>
      </c>
      <c r="E16" s="23">
        <f>C16+D16</f>
        <v>6214</v>
      </c>
      <c r="F16" s="23">
        <f>C16+F15</f>
        <v>36061</v>
      </c>
      <c r="G16" s="23">
        <f>D16+G15</f>
        <v>4575</v>
      </c>
      <c r="H16" s="23">
        <f>E16+H15</f>
        <v>40636</v>
      </c>
      <c r="I16" s="32"/>
      <c r="J16" s="32"/>
      <c r="K16" s="32"/>
    </row>
    <row r="17" ht="20.05" customHeight="1">
      <c r="B17" s="31">
        <f>1+$B16</f>
        <v>2019</v>
      </c>
      <c r="C17" s="22">
        <f>10983-D17</f>
        <v>9962</v>
      </c>
      <c r="D17" s="23">
        <f>-330+1351</f>
        <v>1021</v>
      </c>
      <c r="E17" s="23">
        <f>C17+D17</f>
        <v>10983</v>
      </c>
      <c r="F17" s="23">
        <f>C17+F16</f>
        <v>46023</v>
      </c>
      <c r="G17" s="23">
        <f>D17+G16</f>
        <v>5596</v>
      </c>
      <c r="H17" s="23">
        <f>E17+H16</f>
        <v>51619</v>
      </c>
      <c r="I17" s="32"/>
      <c r="J17" s="32"/>
      <c r="K17" s="32"/>
    </row>
    <row r="18" ht="20.05" customHeight="1">
      <c r="B18" s="31">
        <f>1+$B17</f>
        <v>2020</v>
      </c>
      <c r="C18" s="22">
        <f>22998-D18</f>
        <v>21368</v>
      </c>
      <c r="D18" s="23">
        <f>1740-110</f>
        <v>1630</v>
      </c>
      <c r="E18" s="23">
        <f>C18+D18</f>
        <v>22998</v>
      </c>
      <c r="F18" s="23">
        <f>C18+F17</f>
        <v>67391</v>
      </c>
      <c r="G18" s="23">
        <f>D18+G17</f>
        <v>7226</v>
      </c>
      <c r="H18" s="23">
        <f>E18+H17</f>
        <v>74617</v>
      </c>
      <c r="I18" s="32"/>
      <c r="J18" s="32"/>
      <c r="K18" s="32"/>
    </row>
    <row r="19" ht="20.05" customHeight="1">
      <c r="B19" s="31">
        <f>1+$B18</f>
        <v>2021</v>
      </c>
      <c r="C19" s="22">
        <f>3447-455+60-D19</f>
        <v>2450</v>
      </c>
      <c r="D19" s="23">
        <f>602</f>
        <v>602</v>
      </c>
      <c r="E19" s="23">
        <f>C19+D19</f>
        <v>3052</v>
      </c>
      <c r="F19" s="23">
        <f>C19+F18</f>
        <v>69841</v>
      </c>
      <c r="G19" s="23">
        <f>D19+G18</f>
        <v>7828</v>
      </c>
      <c r="H19" s="23">
        <f>E19+H18</f>
        <v>77669</v>
      </c>
      <c r="I19" s="23">
        <f>AVERAGE(E4:E19)</f>
        <v>4854.3125</v>
      </c>
      <c r="J19" s="23">
        <f>AVERAGE(E15:E19)</f>
        <v>10886.4</v>
      </c>
      <c r="K19" s="18">
        <f>SUM('Cashflow'!G29:H32)</f>
        <v>139.5</v>
      </c>
    </row>
    <row r="20" ht="20.05" customHeight="1">
      <c r="B20" s="31">
        <f>1+$B19</f>
        <v>2022</v>
      </c>
      <c r="C20" s="22">
        <f>'Cashflow'!G32</f>
        <v>-2912.9</v>
      </c>
      <c r="D20" s="23">
        <f>'Cashflow'!H32</f>
        <v>1.4</v>
      </c>
      <c r="E20" s="23">
        <f>C20+D20</f>
        <v>-2911.5</v>
      </c>
      <c r="F20" s="23">
        <f>C20+F19</f>
        <v>66928.100000000006</v>
      </c>
      <c r="G20" s="23">
        <f>D20+G19</f>
        <v>7829.4</v>
      </c>
      <c r="H20" s="23">
        <f>E20+H19</f>
        <v>74757.5</v>
      </c>
      <c r="I20" s="32"/>
      <c r="J20" s="32"/>
      <c r="K20" s="32"/>
    </row>
    <row r="22" ht="27.65" customHeight="1">
      <c r="L22" t="s" s="2">
        <v>66</v>
      </c>
      <c r="M22" s="2"/>
      <c r="N22" s="2"/>
      <c r="O22" s="2"/>
      <c r="P22" s="2"/>
      <c r="Q22" s="2"/>
      <c r="R22" s="2"/>
      <c r="S22" s="2"/>
      <c r="T22" s="2"/>
      <c r="U22" s="2"/>
      <c r="V22" s="2"/>
    </row>
    <row r="23" ht="20.25" customHeight="1"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ht="20.25" customHeight="1">
      <c r="L24" s="45"/>
      <c r="M24" t="s" s="46">
        <v>67</v>
      </c>
      <c r="N24" s="47">
        <v>27434747934720</v>
      </c>
      <c r="O24" s="8"/>
      <c r="P24" s="8"/>
      <c r="Q24" s="8"/>
      <c r="R24" s="8"/>
      <c r="S24" s="8"/>
      <c r="T24" s="8"/>
      <c r="U24" s="8"/>
      <c r="V24" s="8"/>
    </row>
    <row r="25" ht="32.05" customHeight="1">
      <c r="L25" s="30"/>
      <c r="M25" t="s" s="48">
        <v>62</v>
      </c>
      <c r="N25" t="s" s="49">
        <v>68</v>
      </c>
      <c r="O25" s="32"/>
      <c r="P25" s="32"/>
      <c r="Q25" s="32"/>
      <c r="R25" s="32"/>
      <c r="S25" s="32"/>
      <c r="T25" s="32"/>
      <c r="U25" s="32"/>
      <c r="V25" s="32"/>
    </row>
    <row r="26" ht="20.05" customHeight="1">
      <c r="L26" s="30"/>
      <c r="M26" s="50">
        <v>44641</v>
      </c>
      <c r="N26" s="32"/>
      <c r="O26" s="32"/>
      <c r="P26" s="32"/>
      <c r="Q26" s="32"/>
      <c r="R26" s="32"/>
      <c r="S26" s="32"/>
      <c r="T26" s="32"/>
      <c r="U26" s="32"/>
      <c r="V26" s="32"/>
    </row>
    <row r="27" ht="20.05" customHeight="1">
      <c r="L27" s="30"/>
      <c r="M27" t="s" s="48">
        <v>69</v>
      </c>
      <c r="N27" s="18">
        <f>$B4</f>
        <v>2006</v>
      </c>
      <c r="O27" s="32"/>
      <c r="P27" s="32"/>
      <c r="Q27" s="32"/>
      <c r="R27" s="32"/>
      <c r="S27" s="32"/>
      <c r="T27" s="32"/>
      <c r="U27" s="32"/>
      <c r="V27" s="32"/>
    </row>
    <row r="28" ht="32.05" customHeight="1">
      <c r="L28" s="30"/>
      <c r="M28" t="s" s="48">
        <v>70</v>
      </c>
      <c r="N28" s="18">
        <f>(2022-N27)*4</f>
        <v>64</v>
      </c>
      <c r="O28" s="32"/>
      <c r="P28" s="32"/>
      <c r="Q28" s="32"/>
      <c r="R28" s="32"/>
      <c r="S28" s="32"/>
      <c r="T28" s="32"/>
      <c r="U28" s="32"/>
      <c r="V28" s="32"/>
    </row>
    <row r="29" ht="20.05" customHeight="1">
      <c r="L29" s="30"/>
      <c r="M29" t="s" s="48">
        <v>67</v>
      </c>
      <c r="N29" s="23">
        <f>(N24/1000000000)</f>
        <v>27434.74793472</v>
      </c>
      <c r="O29" s="32"/>
      <c r="P29" s="32"/>
      <c r="Q29" s="32"/>
      <c r="R29" s="32"/>
      <c r="S29" s="32"/>
      <c r="T29" s="32"/>
      <c r="U29" s="32"/>
      <c r="V29" s="32"/>
    </row>
    <row r="30" ht="20.05" customHeight="1">
      <c r="L30" s="30"/>
      <c r="M30" t="s" s="48">
        <v>11</v>
      </c>
      <c r="N30" s="23">
        <f>S34</f>
        <v>69841</v>
      </c>
      <c r="O30" t="s" s="49">
        <f>S31</f>
        <v>71</v>
      </c>
      <c r="P30" t="s" s="49">
        <f>IF(N30&gt;0,"raised","paid")</f>
        <v>72</v>
      </c>
      <c r="Q30" s="32"/>
      <c r="R30" s="32"/>
      <c r="S30" s="32"/>
      <c r="T30" s="32"/>
      <c r="U30" s="32"/>
      <c r="V30" s="32"/>
    </row>
    <row r="31" ht="32.05" customHeight="1">
      <c r="L31" s="30"/>
      <c r="M31" t="s" s="48">
        <f>M25</f>
        <v>62</v>
      </c>
      <c r="N31" t="s" s="49">
        <v>73</v>
      </c>
      <c r="O31" t="s" s="49">
        <f>IF(R31&gt;0,"raised","paid")</f>
        <v>72</v>
      </c>
      <c r="P31" t="s" s="49">
        <v>74</v>
      </c>
      <c r="Q31" t="s" s="49">
        <v>75</v>
      </c>
      <c r="R31" s="23">
        <f>AVERAGE(C4:C19)</f>
        <v>4365.0625</v>
      </c>
      <c r="S31" t="s" s="49">
        <v>71</v>
      </c>
      <c r="T31" t="s" s="49">
        <v>76</v>
      </c>
      <c r="U31" s="16">
        <f>R31/N29</f>
        <v>0.159107075100034</v>
      </c>
      <c r="V31" t="s" s="49">
        <v>77</v>
      </c>
    </row>
    <row r="32" ht="32.05" customHeight="1">
      <c r="L32" s="30"/>
      <c r="M32" t="s" s="48">
        <v>78</v>
      </c>
      <c r="N32" t="s" s="49">
        <f>P31</f>
        <v>74</v>
      </c>
      <c r="O32" t="s" s="49">
        <v>79</v>
      </c>
      <c r="P32" t="s" s="49">
        <f>IF(R32&gt;0,"raised","paid")</f>
        <v>72</v>
      </c>
      <c r="Q32" t="s" s="49">
        <v>75</v>
      </c>
      <c r="R32" s="23">
        <f>AVERAGE(C15:C19)</f>
        <v>10119.2</v>
      </c>
      <c r="S32" t="s" s="49">
        <f>S31</f>
        <v>71</v>
      </c>
      <c r="T32" t="s" s="49">
        <v>76</v>
      </c>
      <c r="U32" s="16">
        <f>R32/N29</f>
        <v>0.368846108011573</v>
      </c>
      <c r="V32" t="s" s="49">
        <v>77</v>
      </c>
    </row>
    <row r="33" ht="44.05" customHeight="1">
      <c r="L33" s="30"/>
      <c r="M33" t="s" s="48">
        <v>80</v>
      </c>
      <c r="N33" t="s" s="49">
        <v>81</v>
      </c>
      <c r="O33" s="23">
        <f>MAX(F4:F19)</f>
        <v>69841</v>
      </c>
      <c r="P33" t="s" s="49">
        <f>S32</f>
        <v>71</v>
      </c>
      <c r="Q33" t="s" s="49">
        <v>82</v>
      </c>
      <c r="R33" s="18">
        <f>$B19</f>
        <v>2021</v>
      </c>
      <c r="S33" s="32"/>
      <c r="T33" s="32"/>
      <c r="U33" s="32"/>
      <c r="V33" s="32"/>
    </row>
    <row r="34" ht="32.05" customHeight="1">
      <c r="L34" s="30"/>
      <c r="M34" t="s" s="48">
        <v>83</v>
      </c>
      <c r="N34" t="s" s="49">
        <f>N32</f>
        <v>74</v>
      </c>
      <c r="O34" t="s" s="49">
        <v>84</v>
      </c>
      <c r="P34" t="s" s="49">
        <v>85</v>
      </c>
      <c r="Q34" t="s" s="49">
        <f>IF(S34&lt;O33,"down","up")</f>
        <v>86</v>
      </c>
      <c r="R34" t="s" s="49">
        <v>87</v>
      </c>
      <c r="S34" s="23">
        <f>F19</f>
        <v>69841</v>
      </c>
      <c r="T34" t="s" s="49">
        <f>S32</f>
        <v>71</v>
      </c>
      <c r="U34" s="32"/>
      <c r="V34" s="32"/>
    </row>
    <row r="35" ht="20.05" customHeight="1">
      <c r="L35" s="30"/>
      <c r="M35" t="s" s="48">
        <v>53</v>
      </c>
      <c r="N35" s="18">
        <f>S39</f>
        <v>4.0571428571429</v>
      </c>
      <c r="O35" t="s" s="49">
        <f>T34</f>
        <v>71</v>
      </c>
      <c r="P35" t="s" s="49">
        <f>IF(N35&gt;0,"raised","paid")</f>
        <v>72</v>
      </c>
      <c r="Q35" s="32"/>
      <c r="R35" s="32"/>
      <c r="S35" s="32"/>
      <c r="T35" s="32"/>
      <c r="U35" s="32"/>
      <c r="V35" s="32"/>
    </row>
    <row r="36" ht="32.05" customHeight="1">
      <c r="L36" s="30"/>
      <c r="M36" t="s" s="48">
        <f>M31</f>
        <v>62</v>
      </c>
      <c r="N36" t="s" s="49">
        <v>73</v>
      </c>
      <c r="O36" t="s" s="49">
        <f>IF(R36&gt;0,"raised","paid")</f>
        <v>72</v>
      </c>
      <c r="P36" t="s" s="49">
        <v>88</v>
      </c>
      <c r="Q36" t="s" s="49">
        <f>Q31</f>
        <v>75</v>
      </c>
      <c r="R36" s="23">
        <f>AVERAGE(D4:D19)</f>
        <v>489.25</v>
      </c>
      <c r="S36" t="s" s="49">
        <f>S31</f>
        <v>71</v>
      </c>
      <c r="T36" t="s" s="49">
        <f>T31</f>
        <v>76</v>
      </c>
      <c r="U36" s="16">
        <f>R36/N29</f>
        <v>0.0178332238066904</v>
      </c>
      <c r="V36" t="s" s="49">
        <f>V31</f>
        <v>77</v>
      </c>
    </row>
    <row r="37" ht="32.05" customHeight="1">
      <c r="L37" s="30"/>
      <c r="M37" t="s" s="48">
        <v>78</v>
      </c>
      <c r="N37" t="s" s="49">
        <f>P36</f>
        <v>88</v>
      </c>
      <c r="O37" t="s" s="49">
        <v>89</v>
      </c>
      <c r="P37" t="s" s="49">
        <f>IF(R37&gt;0,"raised","paid")</f>
        <v>72</v>
      </c>
      <c r="Q37" t="s" s="49">
        <v>75</v>
      </c>
      <c r="R37" s="23">
        <f>AVERAGE(D15:D19)</f>
        <v>767.2</v>
      </c>
      <c r="S37" t="s" s="49">
        <f>S36</f>
        <v>71</v>
      </c>
      <c r="T37" t="s" s="49">
        <v>76</v>
      </c>
      <c r="U37" s="16">
        <f>R37/N29</f>
        <v>0.0279645361359078</v>
      </c>
      <c r="V37" t="s" s="49">
        <f>V32</f>
        <v>77</v>
      </c>
    </row>
    <row r="38" ht="44.05" customHeight="1">
      <c r="L38" s="30"/>
      <c r="M38" t="s" s="48">
        <v>90</v>
      </c>
      <c r="N38" t="s" s="49">
        <v>81</v>
      </c>
      <c r="O38" s="23">
        <f>MAX(G4:G19)</f>
        <v>7828</v>
      </c>
      <c r="P38" t="s" s="49">
        <f>S37</f>
        <v>71</v>
      </c>
      <c r="Q38" t="s" s="49">
        <v>82</v>
      </c>
      <c r="R38" s="18">
        <f>$B19</f>
        <v>2021</v>
      </c>
      <c r="S38" s="32"/>
      <c r="T38" s="32"/>
      <c r="U38" s="32"/>
      <c r="V38" s="32"/>
    </row>
    <row r="39" ht="32.05" customHeight="1">
      <c r="L39" s="30"/>
      <c r="M39" t="s" s="48">
        <v>83</v>
      </c>
      <c r="N39" t="s" s="49">
        <f>N37</f>
        <v>88</v>
      </c>
      <c r="O39" t="s" s="49">
        <v>84</v>
      </c>
      <c r="P39" t="s" s="49">
        <v>91</v>
      </c>
      <c r="Q39" t="s" s="49">
        <f>IF(S39&lt;O38,"down","up")</f>
        <v>92</v>
      </c>
      <c r="R39" t="s" s="49">
        <v>87</v>
      </c>
      <c r="S39" s="18">
        <v>4.0571428571429</v>
      </c>
      <c r="T39" t="s" s="49">
        <f>S37</f>
        <v>71</v>
      </c>
      <c r="U39" s="32"/>
      <c r="V39" s="32"/>
    </row>
    <row r="40" ht="20.05" customHeight="1">
      <c r="L40" s="30"/>
      <c r="M40" t="s" s="48">
        <v>93</v>
      </c>
      <c r="N40" s="23">
        <f>S44</f>
        <v>77669</v>
      </c>
      <c r="O40" t="s" s="49">
        <f>T39</f>
        <v>71</v>
      </c>
      <c r="P40" t="s" s="49">
        <f>IF(N40&gt;0,"raised","paid")</f>
        <v>72</v>
      </c>
      <c r="Q40" s="32"/>
      <c r="R40" s="32"/>
      <c r="S40" s="32"/>
      <c r="T40" s="32"/>
      <c r="U40" s="32"/>
      <c r="V40" s="32"/>
    </row>
    <row r="41" ht="32.05" customHeight="1">
      <c r="L41" s="30"/>
      <c r="M41" t="s" s="48">
        <f>M36</f>
        <v>62</v>
      </c>
      <c r="N41" t="s" s="49">
        <v>73</v>
      </c>
      <c r="O41" t="s" s="49">
        <f>IF(R41&gt;0,"raised","paid")</f>
        <v>72</v>
      </c>
      <c r="P41" t="s" s="49">
        <v>94</v>
      </c>
      <c r="Q41" t="s" s="49">
        <f>Q36</f>
        <v>75</v>
      </c>
      <c r="R41" s="23">
        <f>AVERAGE(E4:E19)</f>
        <v>4854.3125</v>
      </c>
      <c r="S41" t="s" s="49">
        <f>S36</f>
        <v>71</v>
      </c>
      <c r="T41" t="s" s="49">
        <f>T36</f>
        <v>76</v>
      </c>
      <c r="U41" s="16">
        <f>R41/N29</f>
        <v>0.176940298906725</v>
      </c>
      <c r="V41" t="s" s="49">
        <f>V36</f>
        <v>77</v>
      </c>
    </row>
    <row r="42" ht="32.05" customHeight="1">
      <c r="L42" s="30"/>
      <c r="M42" t="s" s="48">
        <v>78</v>
      </c>
      <c r="N42" t="s" s="49">
        <f>P41</f>
        <v>94</v>
      </c>
      <c r="O42" t="s" s="49">
        <v>89</v>
      </c>
      <c r="P42" t="s" s="49">
        <f>IF(R42&gt;0,"raised","paid")</f>
        <v>72</v>
      </c>
      <c r="Q42" t="s" s="49">
        <v>75</v>
      </c>
      <c r="R42" s="23">
        <f>AVERAGE(E15:E19)</f>
        <v>10886.4</v>
      </c>
      <c r="S42" t="s" s="49">
        <f>S41</f>
        <v>71</v>
      </c>
      <c r="T42" t="s" s="49">
        <v>76</v>
      </c>
      <c r="U42" s="16">
        <f>R42/N29</f>
        <v>0.39681064414748</v>
      </c>
      <c r="V42" t="s" s="49">
        <f>V37</f>
        <v>77</v>
      </c>
    </row>
    <row r="43" ht="44.05" customHeight="1">
      <c r="L43" s="30"/>
      <c r="M43" t="s" s="48">
        <v>95</v>
      </c>
      <c r="N43" t="s" s="49">
        <v>81</v>
      </c>
      <c r="O43" s="23">
        <f>MAX(H4:H19)</f>
        <v>77669</v>
      </c>
      <c r="P43" t="s" s="49">
        <f>S42</f>
        <v>71</v>
      </c>
      <c r="Q43" t="s" s="49">
        <v>82</v>
      </c>
      <c r="R43" s="18">
        <f>$B19</f>
        <v>2021</v>
      </c>
      <c r="S43" s="32"/>
      <c r="T43" s="32"/>
      <c r="U43" s="32"/>
      <c r="V43" s="32"/>
    </row>
    <row r="44" ht="32.05" customHeight="1">
      <c r="L44" s="30"/>
      <c r="M44" t="s" s="48">
        <v>83</v>
      </c>
      <c r="N44" t="s" s="49">
        <f>N42</f>
        <v>94</v>
      </c>
      <c r="O44" t="s" s="49">
        <v>84</v>
      </c>
      <c r="P44" t="s" s="49">
        <v>91</v>
      </c>
      <c r="Q44" t="s" s="49">
        <f>IF(S44&lt;O43,"down","up")</f>
        <v>86</v>
      </c>
      <c r="R44" t="s" s="49">
        <v>87</v>
      </c>
      <c r="S44" s="23">
        <f>H19</f>
        <v>77669</v>
      </c>
      <c r="T44" t="s" s="49">
        <f>S42</f>
        <v>71</v>
      </c>
      <c r="U44" s="16"/>
      <c r="V44" s="32"/>
    </row>
  </sheetData>
  <mergeCells count="2">
    <mergeCell ref="B2:K2"/>
    <mergeCell ref="L22:V2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