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<sst xmlns="http://schemas.openxmlformats.org/spreadsheetml/2006/main" uniqueCount="56">
  <si>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</si>
  <si>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Rp 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</si>
  <si>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</si>
  <si>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</si>
  <si>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</si>
  <si>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</si>
  <si>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</si>
  <si>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</si>
  <si>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</si>
  <si>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</si>
  <si>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Leases</t>
  </si>
  <si>
    <t>Finance</t>
  </si>
  <si>
    <t xml:space="preserve">Liabilities </t>
  </si>
  <si>
    <t xml:space="preserve">Revolver </t>
  </si>
  <si>
    <t xml:space="preserve">Payout </t>
  </si>
  <si>
    <t xml:space="preserve">Equity </t>
  </si>
  <si>
    <t xml:space="preserve">Before 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</si>
  <si>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</si>
  <si>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</si>
  <si>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</si>
  <si>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</si>
  <si>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</si>
  <si>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</si>
  <si>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</si>
  <si>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</si>
  <si>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</si>
  <si>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</si>
  <si>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debt </t>
  </si>
  <si>
    <t xml:space="preserve">Valuation </t>
  </si>
  <si>
    <t>Capital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</si>
  <si>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</si>
  <si>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</si>
  <si>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</si>
  <si>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</si>
  <si>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</si>
  <si>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</si>
  <si>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</si>
  <si>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</si>
  <si>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</si>
  <si>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</si>
  <si>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</si>
  <si>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</si>
  <si>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>Profit</t>
  </si>
  <si>
    <t>Non cash costs</t>
  </si>
  <si>
    <t xml:space="preserve">Sales growth </t>
  </si>
  <si>
    <t>Cashflow</t>
  </si>
  <si>
    <t>Receipts</t>
  </si>
  <si>
    <t xml:space="preserve">Free cashflow </t>
  </si>
  <si>
    <t>Cash</t>
  </si>
  <si>
    <t>Assets</t>
  </si>
  <si>
    <t>Check</t>
  </si>
  <si>
    <t xml:space="preserve">Net cash </t>
  </si>
  <si>
    <t>Share price</t>
  </si>
  <si>
    <t>JPFA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</si>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</sst>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#,##0%"/>
    <numFmt numFmtId="61" formatCode="0.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0"/>
      <color indexed="14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517157</xdr:colOff>
      <xdr:row>2</xdr:row>
      <xdr:rowOff>36289</xdr:rowOff>
    </xdr:from>
    <xdr:to>
      <xdr:col>13</xdr:col>
      <xdr:colOff>1168052</xdr:colOff>
      <xdr:row>49</xdr:row>
      <xdr:rowOff>123922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73257" y="539844"/>
          <a:ext cx="9363096" cy="1206055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.71094" style="1" customWidth="1"/>
    <col min="2" max="2" width="16.2422" style="1" customWidth="1"/>
    <col min="3" max="6" width="9.76562" style="1" customWidth="1"/>
    <col min="7" max="16384" width="16.3516" style="1" customWidth="1"/>
  </cols>
  <sheetData>
    <row r="1" ht="12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t="s" s="5">
        <v>2</v>
      </c>
      <c r="F3" s="4"/>
    </row>
    <row r="4" ht="20.25" customHeight="1">
      <c r="B4" t="s" s="6">
        <v>3</v>
      </c>
      <c r="C4" s="7">
        <f>AVERAGE('Sales'!G24:G27)</f>
        <v>0.0329259199467177</v>
      </c>
      <c r="D4" s="8"/>
      <c r="E4" s="8"/>
      <c r="F4" s="9">
        <f>AVERAGE(C5:F5)</f>
        <v>0.025</v>
      </c>
    </row>
    <row r="5" ht="20.05" customHeight="1">
      <c r="B5" t="s" s="10">
        <v>4</v>
      </c>
      <c r="C5" s="11">
        <v>0.07000000000000001</v>
      </c>
      <c r="D5" s="12">
        <v>-0.01</v>
      </c>
      <c r="E5" s="12">
        <v>0.05</v>
      </c>
      <c r="F5" s="12">
        <v>-0.01</v>
      </c>
    </row>
    <row r="6" ht="20.05" customHeight="1">
      <c r="B6" t="s" s="10">
        <v>5</v>
      </c>
      <c r="C6" s="13">
        <f>'Sales'!C27*(1+C5)</f>
        <v>13004.78</v>
      </c>
      <c r="D6" s="14">
        <f>C6*(1+D5)</f>
        <v>12874.7322</v>
      </c>
      <c r="E6" s="14">
        <f>D6*(1+E5)</f>
        <v>13518.46881</v>
      </c>
      <c r="F6" s="14">
        <f>E6*(1+F5)</f>
        <v>13383.2841219</v>
      </c>
    </row>
    <row r="7" ht="20.05" customHeight="1">
      <c r="B7" t="s" s="10">
        <v>6</v>
      </c>
      <c r="C7" s="11">
        <f>AVERAGE('Sales'!I27)</f>
        <v>-0.932169126840907</v>
      </c>
      <c r="D7" s="12">
        <f>C7</f>
        <v>-0.932169126840907</v>
      </c>
      <c r="E7" s="12">
        <f>D7</f>
        <v>-0.932169126840907</v>
      </c>
      <c r="F7" s="12">
        <f>E7</f>
        <v>-0.932169126840907</v>
      </c>
    </row>
    <row r="8" ht="20.05" customHeight="1">
      <c r="B8" t="s" s="10">
        <v>7</v>
      </c>
      <c r="C8" s="15">
        <f>C6*C7</f>
        <v>-12122.6544173581</v>
      </c>
      <c r="D8" s="16">
        <f>D6*D7</f>
        <v>-12001.4278731845</v>
      </c>
      <c r="E8" s="16">
        <f>E6*E7</f>
        <v>-12601.4992668437</v>
      </c>
      <c r="F8" s="16">
        <f>F6*F7</f>
        <v>-12475.4842741753</v>
      </c>
    </row>
    <row r="9" ht="20.05" customHeight="1">
      <c r="B9" t="s" s="10">
        <v>8</v>
      </c>
      <c r="C9" s="15">
        <f>C6+C8</f>
        <v>882.1255826419</v>
      </c>
      <c r="D9" s="16">
        <f>D6+D8</f>
        <v>873.3043268155</v>
      </c>
      <c r="E9" s="16">
        <f>E6+E8</f>
        <v>916.9695431563</v>
      </c>
      <c r="F9" s="16">
        <f>F6+F8</f>
        <v>907.7998477247</v>
      </c>
    </row>
    <row r="10" ht="20.05" customHeight="1">
      <c r="B10" t="s" s="10">
        <v>9</v>
      </c>
      <c r="C10" s="15">
        <f>AVERAGE('Cashflow '!E28)</f>
        <v>-320.2</v>
      </c>
      <c r="D10" s="16">
        <f>C10</f>
        <v>-320.2</v>
      </c>
      <c r="E10" s="16">
        <f>D10</f>
        <v>-320.2</v>
      </c>
      <c r="F10" s="16">
        <f>E10</f>
        <v>-320.2</v>
      </c>
    </row>
    <row r="11" ht="20.05" customHeight="1">
      <c r="B11" t="s" s="10">
        <v>10</v>
      </c>
      <c r="C11" s="15">
        <f>SUM('Cashflow '!F28)/4</f>
        <v>-2.25</v>
      </c>
      <c r="D11" s="16">
        <f>C11</f>
        <v>-2.25</v>
      </c>
      <c r="E11" s="16">
        <f>D11</f>
        <v>-2.25</v>
      </c>
      <c r="F11" s="16">
        <f>E11</f>
        <v>-2.25</v>
      </c>
    </row>
    <row r="12" ht="20.05" customHeight="1">
      <c r="B12" t="s" s="10">
        <v>11</v>
      </c>
      <c r="C12" s="15">
        <f>C13+C16+C14</f>
        <v>-561.9255826419</v>
      </c>
      <c r="D12" s="16">
        <f>D13+D16+D14</f>
        <v>-553.1043268155</v>
      </c>
      <c r="E12" s="16">
        <f>E13+E16+E14</f>
        <v>-596.7695431563</v>
      </c>
      <c r="F12" s="16">
        <f>F13+F16+F14</f>
        <v>-587.5998477247</v>
      </c>
    </row>
    <row r="13" ht="20.05" customHeight="1">
      <c r="B13" t="s" s="10">
        <v>12</v>
      </c>
      <c r="C13" s="15">
        <f>-'Balance sheet'!G28/20</f>
        <v>-821.35</v>
      </c>
      <c r="D13" s="16">
        <f>-C28/20</f>
        <v>-780.2825</v>
      </c>
      <c r="E13" s="16">
        <f>-D28/20</f>
        <v>-741.268375</v>
      </c>
      <c r="F13" s="16">
        <f>-E28/20</f>
        <v>-704.20495625</v>
      </c>
    </row>
    <row r="14" ht="20.05" customHeight="1">
      <c r="B14" t="s" s="10">
        <v>13</v>
      </c>
      <c r="C14" s="15">
        <f>-MIN(0,C17)</f>
        <v>314.336975622290</v>
      </c>
      <c r="D14" s="16">
        <f>-MIN(C29,D17)</f>
        <v>281.208605866050</v>
      </c>
      <c r="E14" s="16">
        <f>-MIN(D29,E17)</f>
        <v>202.895786159330</v>
      </c>
      <c r="F14" s="16">
        <f>-MIN(E29,F17)</f>
        <v>174.085093297770</v>
      </c>
    </row>
    <row r="15" ht="20.05" customHeight="1">
      <c r="B15" t="s" s="10">
        <v>14</v>
      </c>
      <c r="C15" s="17">
        <v>0.1</v>
      </c>
      <c r="D15" s="16"/>
      <c r="E15" s="16"/>
      <c r="F15" s="16"/>
    </row>
    <row r="16" ht="20.05" customHeight="1">
      <c r="B16" t="s" s="10">
        <v>15</v>
      </c>
      <c r="C16" s="15">
        <f>IF(C23&gt;0,-C23*$C$15,0)</f>
        <v>-54.912558264190</v>
      </c>
      <c r="D16" s="16">
        <f>IF(D23&gt;0,-D23*$C$15,0)</f>
        <v>-54.030432681550</v>
      </c>
      <c r="E16" s="16">
        <f>IF(E23&gt;0,-E23*$C$15,0)</f>
        <v>-58.396954315630</v>
      </c>
      <c r="F16" s="16">
        <f>IF(F23&gt;0,-F23*$C$15,0)</f>
        <v>-57.479984772470</v>
      </c>
    </row>
    <row r="17" ht="20.05" customHeight="1">
      <c r="B17" t="s" s="10">
        <v>16</v>
      </c>
      <c r="C17" s="15">
        <f>C9+C10+C13+C16</f>
        <v>-314.336975622290</v>
      </c>
      <c r="D17" s="16">
        <f>D9+D10+D13+D16</f>
        <v>-281.208605866050</v>
      </c>
      <c r="E17" s="16">
        <f>E9+E10+E13+E16</f>
        <v>-202.895786159330</v>
      </c>
      <c r="F17" s="16">
        <f>F9+F10+F13+F16</f>
        <v>-174.085093297770</v>
      </c>
    </row>
    <row r="18" ht="20.05" customHeight="1">
      <c r="B18" t="s" s="10">
        <v>17</v>
      </c>
      <c r="C18" s="15">
        <f>'Balance sheet'!C28</f>
        <v>1139.7</v>
      </c>
      <c r="D18" s="16">
        <f>C20</f>
        <v>1139.7</v>
      </c>
      <c r="E18" s="16">
        <f>D20</f>
        <v>1139.7</v>
      </c>
      <c r="F18" s="16">
        <f>E20</f>
        <v>1139.7</v>
      </c>
    </row>
    <row r="19" ht="20.05" customHeight="1">
      <c r="B19" t="s" s="10">
        <v>18</v>
      </c>
      <c r="C19" s="15">
        <f>C9+C10+C12</f>
        <v>0</v>
      </c>
      <c r="D19" s="16">
        <f>D9+D10+D12</f>
        <v>0</v>
      </c>
      <c r="E19" s="16">
        <f>E9+E10+E12</f>
        <v>0</v>
      </c>
      <c r="F19" s="16">
        <f>F9+F10+F12</f>
        <v>0</v>
      </c>
    </row>
    <row r="20" ht="20.05" customHeight="1">
      <c r="B20" t="s" s="10">
        <v>19</v>
      </c>
      <c r="C20" s="15">
        <f>C18+C19</f>
        <v>1139.7</v>
      </c>
      <c r="D20" s="16">
        <f>D18+D19</f>
        <v>1139.7</v>
      </c>
      <c r="E20" s="16">
        <f>E18+E19</f>
        <v>1139.7</v>
      </c>
      <c r="F20" s="16">
        <f>F18+F19</f>
        <v>1139.7</v>
      </c>
    </row>
    <row r="21" ht="20.05" customHeight="1">
      <c r="B21" t="s" s="18">
        <v>20</v>
      </c>
      <c r="C21" s="15"/>
      <c r="D21" s="16"/>
      <c r="E21" s="16"/>
      <c r="F21" s="19"/>
    </row>
    <row r="22" ht="20.05" customHeight="1">
      <c r="B22" t="s" s="10">
        <v>21</v>
      </c>
      <c r="C22" s="15">
        <f>-AVERAGE('Sales'!E27)</f>
        <v>-333</v>
      </c>
      <c r="D22" s="16">
        <f>C22</f>
        <v>-333</v>
      </c>
      <c r="E22" s="16">
        <f>D22</f>
        <v>-333</v>
      </c>
      <c r="F22" s="16">
        <f>E22</f>
        <v>-333</v>
      </c>
    </row>
    <row r="23" ht="20.05" customHeight="1">
      <c r="B23" t="s" s="10">
        <v>20</v>
      </c>
      <c r="C23" s="15">
        <f>C6+C8+C22</f>
        <v>549.1255826419</v>
      </c>
      <c r="D23" s="16">
        <f>D6+D8+D22</f>
        <v>540.3043268155</v>
      </c>
      <c r="E23" s="16">
        <f>E6+E8+E22</f>
        <v>583.9695431563</v>
      </c>
      <c r="F23" s="16">
        <f>F6+F8+F22</f>
        <v>574.7998477247</v>
      </c>
    </row>
    <row r="24" ht="20.05" customHeight="1">
      <c r="B24" t="s" s="18">
        <v>22</v>
      </c>
      <c r="C24" s="15"/>
      <c r="D24" s="16"/>
      <c r="E24" s="16"/>
      <c r="F24" s="16"/>
    </row>
    <row r="25" ht="20.05" customHeight="1">
      <c r="B25" t="s" s="10">
        <v>23</v>
      </c>
      <c r="C25" s="15">
        <f>'Balance sheet'!E28+'Balance sheet'!F28-C10</f>
        <v>38778.2</v>
      </c>
      <c r="D25" s="16">
        <f>C25-D10</f>
        <v>39098.4</v>
      </c>
      <c r="E25" s="16">
        <f>D25-E10</f>
        <v>39418.6</v>
      </c>
      <c r="F25" s="16">
        <f>E25-F10</f>
        <v>39738.8</v>
      </c>
    </row>
    <row r="26" ht="20.05" customHeight="1">
      <c r="B26" t="s" s="10">
        <v>24</v>
      </c>
      <c r="C26" s="15">
        <f>'Balance sheet'!F28-C22</f>
        <v>9796.700000000001</v>
      </c>
      <c r="D26" s="16">
        <f>C26-D22</f>
        <v>10129.7</v>
      </c>
      <c r="E26" s="16">
        <f>D26-E22</f>
        <v>10462.7</v>
      </c>
      <c r="F26" s="16">
        <f>E26-F22</f>
        <v>10795.7</v>
      </c>
    </row>
    <row r="27" ht="20.05" customHeight="1">
      <c r="B27" t="s" s="10">
        <v>25</v>
      </c>
      <c r="C27" s="15">
        <f>C25-C26</f>
        <v>28981.5</v>
      </c>
      <c r="D27" s="16">
        <f>D25-D26</f>
        <v>28968.7</v>
      </c>
      <c r="E27" s="16">
        <f>E25-E26</f>
        <v>28955.9</v>
      </c>
      <c r="F27" s="16">
        <f>F25-F26</f>
        <v>28943.1</v>
      </c>
    </row>
    <row r="28" ht="20.05" customHeight="1">
      <c r="B28" t="s" s="10">
        <v>12</v>
      </c>
      <c r="C28" s="15">
        <f>'Balance sheet'!G28+C13</f>
        <v>15605.65</v>
      </c>
      <c r="D28" s="16">
        <f>C28+D13</f>
        <v>14825.3675</v>
      </c>
      <c r="E28" s="16">
        <f>D28+E13</f>
        <v>14084.099125</v>
      </c>
      <c r="F28" s="16">
        <f>E28+F13</f>
        <v>13379.89416875</v>
      </c>
    </row>
    <row r="29" ht="20.05" customHeight="1">
      <c r="B29" t="s" s="10">
        <v>13</v>
      </c>
      <c r="C29" s="15">
        <f>C14</f>
        <v>314.336975622290</v>
      </c>
      <c r="D29" s="16">
        <f>C29+D14</f>
        <v>595.545581488340</v>
      </c>
      <c r="E29" s="16">
        <f>D29+E14</f>
        <v>798.4413676476699</v>
      </c>
      <c r="F29" s="16">
        <f>E29+F14</f>
        <v>972.526460945440</v>
      </c>
    </row>
    <row r="30" ht="20.05" customHeight="1">
      <c r="B30" t="s" s="10">
        <v>15</v>
      </c>
      <c r="C30" s="15">
        <f>'Balance sheet'!H28+C23+C16</f>
        <v>14201.2130243777</v>
      </c>
      <c r="D30" s="16">
        <f>C30+D23+D16</f>
        <v>14687.4869185117</v>
      </c>
      <c r="E30" s="16">
        <f>D30+E23+E16</f>
        <v>15213.0595073524</v>
      </c>
      <c r="F30" s="16">
        <f>E30+F23+F16</f>
        <v>15730.3793703046</v>
      </c>
    </row>
    <row r="31" ht="20.05" customHeight="1">
      <c r="B31" t="s" s="10">
        <v>26</v>
      </c>
      <c r="C31" s="15">
        <f>C28+C29+C30-C20-C27</f>
        <v>-9.999999999999999e-12</v>
      </c>
      <c r="D31" s="16">
        <f>D28+D29+D30-D20-D27</f>
        <v>4e-11</v>
      </c>
      <c r="E31" s="16">
        <f>E28+E29+E30-E20-E27</f>
        <v>7e-11</v>
      </c>
      <c r="F31" s="16">
        <f>F28+F29+F30-F20-F27</f>
        <v>4e-11</v>
      </c>
    </row>
    <row r="32" ht="20.05" customHeight="1">
      <c r="B32" t="s" s="10">
        <v>27</v>
      </c>
      <c r="C32" s="15">
        <f>C20-C28-C29</f>
        <v>-14780.2869756223</v>
      </c>
      <c r="D32" s="16">
        <f>D20-D28-D29</f>
        <v>-14281.2130814883</v>
      </c>
      <c r="E32" s="16">
        <f>E20-E28-E29</f>
        <v>-13742.8404926477</v>
      </c>
      <c r="F32" s="16">
        <f>F20-F28-F29</f>
        <v>-13212.7206296954</v>
      </c>
    </row>
    <row r="33" ht="20.05" customHeight="1">
      <c r="B33" t="s" s="18">
        <v>28</v>
      </c>
      <c r="C33" s="15"/>
      <c r="D33" s="16"/>
      <c r="E33" s="16"/>
      <c r="F33" s="16"/>
    </row>
    <row r="34" ht="20.05" customHeight="1">
      <c r="B34" t="s" s="10">
        <v>29</v>
      </c>
      <c r="C34" s="15">
        <f>'Cashflow '!M28-C12</f>
        <v>1214.7255826419</v>
      </c>
      <c r="D34" s="16">
        <f>C34-D12</f>
        <v>1767.8299094574</v>
      </c>
      <c r="E34" s="16">
        <f>D34-E12</f>
        <v>2364.5994526137</v>
      </c>
      <c r="F34" s="16">
        <f>E34-F12</f>
        <v>2952.1993003384</v>
      </c>
    </row>
    <row r="35" ht="20.05" customHeight="1">
      <c r="B35" t="s" s="10">
        <v>30</v>
      </c>
      <c r="C35" s="15"/>
      <c r="D35" s="16"/>
      <c r="E35" s="16"/>
      <c r="F35" s="16">
        <v>13472007628800</v>
      </c>
    </row>
    <row r="36" ht="20.05" customHeight="1">
      <c r="B36" t="s" s="10">
        <v>30</v>
      </c>
      <c r="C36" s="15"/>
      <c r="D36" s="16"/>
      <c r="E36" s="16"/>
      <c r="F36" s="16">
        <f>F35/1000000000</f>
        <v>13472.0076288</v>
      </c>
    </row>
    <row r="37" ht="20.05" customHeight="1">
      <c r="B37" t="s" s="10">
        <v>31</v>
      </c>
      <c r="C37" s="15"/>
      <c r="D37" s="16"/>
      <c r="E37" s="16"/>
      <c r="F37" s="20">
        <f>F36/(F20+F27)</f>
        <v>0.447830907654873</v>
      </c>
    </row>
    <row r="38" ht="20.05" customHeight="1">
      <c r="B38" t="s" s="10">
        <v>32</v>
      </c>
      <c r="C38" s="15"/>
      <c r="D38" s="16"/>
      <c r="E38" s="16"/>
      <c r="F38" s="21">
        <f>-(C16+D16+E16+F16)/F36</f>
        <v>0.0166879307248333</v>
      </c>
    </row>
    <row r="39" ht="20.05" customHeight="1">
      <c r="B39" t="s" s="10">
        <v>3</v>
      </c>
      <c r="C39" s="15"/>
      <c r="D39" s="16"/>
      <c r="E39" s="16"/>
      <c r="F39" s="16">
        <f>SUM(C9:F11)</f>
        <v>2290.3993003384</v>
      </c>
    </row>
    <row r="40" ht="20.05" customHeight="1">
      <c r="B40" t="s" s="10">
        <v>33</v>
      </c>
      <c r="C40" s="15"/>
      <c r="D40" s="16"/>
      <c r="E40" s="16"/>
      <c r="F40" s="16">
        <f>'Balance sheet'!E28/F39</f>
        <v>12.6590590539022</v>
      </c>
    </row>
    <row r="41" ht="20.05" customHeight="1">
      <c r="B41" t="s" s="10">
        <v>28</v>
      </c>
      <c r="C41" s="15"/>
      <c r="D41" s="16"/>
      <c r="E41" s="16"/>
      <c r="F41" s="16">
        <f>F36/F39</f>
        <v>5.88194714642532</v>
      </c>
    </row>
    <row r="42" ht="20.05" customHeight="1">
      <c r="B42" t="s" s="10">
        <v>34</v>
      </c>
      <c r="C42" s="15"/>
      <c r="D42" s="16"/>
      <c r="E42" s="16"/>
      <c r="F42" s="16">
        <v>12</v>
      </c>
    </row>
    <row r="43" ht="20.05" customHeight="1">
      <c r="B43" t="s" s="10">
        <v>35</v>
      </c>
      <c r="C43" s="15"/>
      <c r="D43" s="16"/>
      <c r="E43" s="16"/>
      <c r="F43" s="16">
        <f>F39*F42</f>
        <v>27484.7916040608</v>
      </c>
    </row>
    <row r="44" ht="20.05" customHeight="1">
      <c r="B44" t="s" s="10">
        <v>36</v>
      </c>
      <c r="C44" s="15"/>
      <c r="D44" s="16"/>
      <c r="E44" s="16"/>
      <c r="F44" s="16">
        <f>F36/F46</f>
        <v>9.291039744000001</v>
      </c>
    </row>
    <row r="45" ht="20.05" customHeight="1">
      <c r="B45" t="s" s="10">
        <v>37</v>
      </c>
      <c r="C45" s="15"/>
      <c r="D45" s="16"/>
      <c r="E45" s="16"/>
      <c r="F45" s="16">
        <f>F43/F44</f>
        <v>2958.204072026490</v>
      </c>
    </row>
    <row r="46" ht="20.05" customHeight="1">
      <c r="B46" t="s" s="10">
        <v>38</v>
      </c>
      <c r="C46" s="15"/>
      <c r="D46" s="16"/>
      <c r="E46" s="16"/>
      <c r="F46" s="16">
        <v>1450</v>
      </c>
    </row>
    <row r="47" ht="20.05" customHeight="1">
      <c r="B47" t="s" s="10">
        <v>39</v>
      </c>
      <c r="C47" s="15"/>
      <c r="D47" s="16"/>
      <c r="E47" s="16"/>
      <c r="F47" s="21">
        <f>F45/F46-1</f>
        <v>1.04014073932861</v>
      </c>
    </row>
    <row r="48" ht="20.05" customHeight="1">
      <c r="B48" t="s" s="10">
        <v>40</v>
      </c>
      <c r="C48" s="15"/>
      <c r="D48" s="16"/>
      <c r="E48" s="16"/>
      <c r="F48" s="21">
        <f>'Sales'!C27/'Sales'!C23-1</f>
        <v>0.128609898783545</v>
      </c>
    </row>
    <row r="49" ht="20.05" customHeight="1">
      <c r="B49" t="s" s="10">
        <v>41</v>
      </c>
      <c r="C49" s="15"/>
      <c r="D49" s="16"/>
      <c r="E49" s="16"/>
      <c r="F49" s="21">
        <f>'Sales'!F30/'Sales'!E30-1</f>
        <v>-0.0565614376965352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J31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0" width="10.9688" style="22" customWidth="1"/>
    <col min="11" max="16384" width="16.3516" style="22" customWidth="1"/>
  </cols>
  <sheetData>
    <row r="1" ht="27.65" customHeight="1">
      <c r="B1" t="s" s="2">
        <v>42</v>
      </c>
      <c r="C1" s="2"/>
      <c r="D1" s="2"/>
      <c r="E1" s="2"/>
      <c r="F1" s="2"/>
      <c r="G1" s="2"/>
      <c r="H1" s="2"/>
      <c r="I1" s="2"/>
      <c r="J1" s="2"/>
    </row>
    <row r="2" ht="32.25" customHeight="1">
      <c r="B2" t="s" s="5">
        <v>1</v>
      </c>
      <c r="C2" t="s" s="5">
        <v>5</v>
      </c>
      <c r="D2" t="s" s="5">
        <v>34</v>
      </c>
      <c r="E2" t="s" s="5">
        <v>43</v>
      </c>
      <c r="F2" t="s" s="5">
        <v>42</v>
      </c>
      <c r="G2" t="s" s="5">
        <v>44</v>
      </c>
      <c r="H2" t="s" s="5">
        <v>6</v>
      </c>
      <c r="I2" t="s" s="5">
        <v>6</v>
      </c>
      <c r="J2" t="s" s="5">
        <v>34</v>
      </c>
    </row>
    <row r="3" ht="20.25" customHeight="1">
      <c r="B3" s="23">
        <v>2016</v>
      </c>
      <c r="C3" s="24">
        <v>6434.46</v>
      </c>
      <c r="D3" s="25"/>
      <c r="E3" s="25">
        <v>142.1</v>
      </c>
      <c r="F3" s="25">
        <v>306.85</v>
      </c>
      <c r="G3" s="26"/>
      <c r="H3" s="9">
        <f>(E3+F3-C3)/C3</f>
        <v>-0.930227245176751</v>
      </c>
      <c r="I3" s="9"/>
      <c r="J3" s="9"/>
    </row>
    <row r="4" ht="20.05" customHeight="1">
      <c r="B4" s="27"/>
      <c r="C4" s="15">
        <v>7107.54</v>
      </c>
      <c r="D4" s="16"/>
      <c r="E4" s="16">
        <v>184.9</v>
      </c>
      <c r="F4" s="16">
        <v>726.15</v>
      </c>
      <c r="G4" s="12">
        <f>C4/C3-1</f>
        <v>0.104605514681885</v>
      </c>
      <c r="H4" s="12">
        <f>(E4+F4-C4)/C4</f>
        <v>-0.871819222966033</v>
      </c>
      <c r="I4" s="12"/>
      <c r="J4" s="12"/>
    </row>
    <row r="5" ht="20.05" customHeight="1">
      <c r="B5" s="27"/>
      <c r="C5" s="15">
        <v>7059.3</v>
      </c>
      <c r="D5" s="16"/>
      <c r="E5" s="16">
        <v>141</v>
      </c>
      <c r="F5" s="16">
        <v>788.5</v>
      </c>
      <c r="G5" s="12">
        <f>C5/C4-1</f>
        <v>-0.00678715842612212</v>
      </c>
      <c r="H5" s="12">
        <f>(E5+F5-C5)/C5</f>
        <v>-0.868329721077161</v>
      </c>
      <c r="I5" s="12"/>
      <c r="J5" s="12"/>
    </row>
    <row r="6" ht="20.05" customHeight="1">
      <c r="B6" s="27"/>
      <c r="C6" s="15">
        <v>6462</v>
      </c>
      <c r="D6" s="16"/>
      <c r="E6" s="16">
        <v>159.5</v>
      </c>
      <c r="F6" s="16">
        <v>350.1</v>
      </c>
      <c r="G6" s="12">
        <f>C6/C5-1</f>
        <v>-0.0846117887042625</v>
      </c>
      <c r="H6" s="12">
        <f>(E6+F6-C6)/C6</f>
        <v>-0.921138966264314</v>
      </c>
      <c r="I6" s="12"/>
      <c r="J6" s="12"/>
    </row>
    <row r="7" ht="20.05" customHeight="1">
      <c r="B7" s="28">
        <v>2017</v>
      </c>
      <c r="C7" s="15">
        <v>6624.7</v>
      </c>
      <c r="D7" s="16"/>
      <c r="E7" s="16">
        <v>164.7</v>
      </c>
      <c r="F7" s="16">
        <v>116.6</v>
      </c>
      <c r="G7" s="12">
        <f>C7/C6-1</f>
        <v>0.0251779634787991</v>
      </c>
      <c r="H7" s="12">
        <f>(E7+F7-C7)/C7</f>
        <v>-0.957537699820369</v>
      </c>
      <c r="I7" s="19"/>
      <c r="J7" s="12"/>
    </row>
    <row r="8" ht="20.05" customHeight="1">
      <c r="B8" s="27"/>
      <c r="C8" s="15">
        <v>7507.5</v>
      </c>
      <c r="D8" s="16"/>
      <c r="E8" s="16">
        <v>169.2</v>
      </c>
      <c r="F8" s="16">
        <v>416.3</v>
      </c>
      <c r="G8" s="12">
        <f>C8/C7-1</f>
        <v>0.133258864552357</v>
      </c>
      <c r="H8" s="12">
        <f>(E8+F8-C8)/C8</f>
        <v>-0.922011322011322</v>
      </c>
      <c r="I8" s="19"/>
      <c r="J8" s="12"/>
    </row>
    <row r="9" ht="20.05" customHeight="1">
      <c r="B9" s="27"/>
      <c r="C9" s="15">
        <v>7562</v>
      </c>
      <c r="D9" s="16"/>
      <c r="E9" s="16">
        <v>173</v>
      </c>
      <c r="F9" s="16">
        <v>384.9</v>
      </c>
      <c r="G9" s="12">
        <f>C9/C8-1</f>
        <v>0.00725940725940726</v>
      </c>
      <c r="H9" s="12">
        <f>(E9+F9-C9)/C9</f>
        <v>-0.926223221370008</v>
      </c>
      <c r="I9" s="19"/>
      <c r="J9" s="12"/>
    </row>
    <row r="10" ht="20.05" customHeight="1">
      <c r="B10" s="27"/>
      <c r="C10" s="15">
        <v>7908.8</v>
      </c>
      <c r="D10" s="16"/>
      <c r="E10" s="16">
        <v>174.2</v>
      </c>
      <c r="F10" s="16">
        <v>190</v>
      </c>
      <c r="G10" s="12">
        <f>C10/C9-1</f>
        <v>0.0458608833641894</v>
      </c>
      <c r="H10" s="12">
        <f>(E10+F10-C10)/C10</f>
        <v>-0.9539500303459439</v>
      </c>
      <c r="I10" s="12">
        <f>AVERAGE(H7:H10)</f>
        <v>-0.939930568386911</v>
      </c>
      <c r="J10" s="12"/>
    </row>
    <row r="11" ht="20.05" customHeight="1">
      <c r="B11" s="28">
        <v>2018</v>
      </c>
      <c r="C11" s="15">
        <v>7860.9</v>
      </c>
      <c r="D11" s="16"/>
      <c r="E11" s="16">
        <v>176</v>
      </c>
      <c r="F11" s="16">
        <v>463.2</v>
      </c>
      <c r="G11" s="12">
        <f>C11/C10-1</f>
        <v>-0.00605654460853733</v>
      </c>
      <c r="H11" s="12">
        <f>(E11+F11-C11)/C11</f>
        <v>-0.918686155529265</v>
      </c>
      <c r="I11" s="12">
        <f>AVERAGE(H8:H11)</f>
        <v>-0.930217682314135</v>
      </c>
      <c r="J11" s="12"/>
    </row>
    <row r="12" ht="20.05" customHeight="1">
      <c r="B12" s="27"/>
      <c r="C12" s="15">
        <v>8843.6</v>
      </c>
      <c r="D12" s="16"/>
      <c r="E12" s="16">
        <v>199.6</v>
      </c>
      <c r="F12" s="16">
        <v>709.9</v>
      </c>
      <c r="G12" s="12">
        <f>C12/C11-1</f>
        <v>0.125011131040975</v>
      </c>
      <c r="H12" s="12">
        <f>(E12+F12-C12)/C12</f>
        <v>-0.897157266271654</v>
      </c>
      <c r="I12" s="12">
        <f>AVERAGE(H9:H12)</f>
        <v>-0.9240041683792179</v>
      </c>
      <c r="J12" s="12"/>
    </row>
    <row r="13" ht="20.05" customHeight="1">
      <c r="B13" s="27"/>
      <c r="C13" s="15">
        <v>8633.1</v>
      </c>
      <c r="D13" s="16"/>
      <c r="E13" s="16">
        <v>188.9</v>
      </c>
      <c r="F13" s="16">
        <v>589</v>
      </c>
      <c r="G13" s="12">
        <f>C13/C12-1</f>
        <v>-0.0238025238590619</v>
      </c>
      <c r="H13" s="12">
        <f>(E13+F13-C13)/C13</f>
        <v>-0.909893317580012</v>
      </c>
      <c r="I13" s="12">
        <f>AVERAGE(H10:H13)</f>
        <v>-0.919921692431719</v>
      </c>
      <c r="J13" s="12"/>
    </row>
    <row r="14" ht="20.05" customHeight="1">
      <c r="B14" s="27"/>
      <c r="C14" s="15">
        <v>8675.4</v>
      </c>
      <c r="D14" s="16"/>
      <c r="E14" s="16">
        <f>860+3.4-SUM(E11:E13)</f>
        <v>298.9</v>
      </c>
      <c r="F14" s="16">
        <v>491.1</v>
      </c>
      <c r="G14" s="12">
        <f>C14/C13-1</f>
        <v>0.00489974632519026</v>
      </c>
      <c r="H14" s="12">
        <f>(E14+F14-C14)/C14</f>
        <v>-0.908937916407313</v>
      </c>
      <c r="I14" s="12">
        <f>AVERAGE(H11:H14)</f>
        <v>-0.908668663947061</v>
      </c>
      <c r="J14" s="12"/>
    </row>
    <row r="15" ht="20.05" customHeight="1">
      <c r="B15" s="28">
        <v>2019</v>
      </c>
      <c r="C15" s="15">
        <v>8564.700000000001</v>
      </c>
      <c r="D15" s="16"/>
      <c r="E15" s="16">
        <v>202.7</v>
      </c>
      <c r="F15" s="16">
        <v>326.5</v>
      </c>
      <c r="G15" s="12">
        <f>C15/C14-1</f>
        <v>-0.0127602185490006</v>
      </c>
      <c r="H15" s="12">
        <f>(E15+F15-C15)/C15</f>
        <v>-0.938211496024379</v>
      </c>
      <c r="I15" s="12">
        <f>AVERAGE(H12:H15)</f>
        <v>-0.91354999907084</v>
      </c>
      <c r="J15" s="12"/>
    </row>
    <row r="16" ht="20.05" customHeight="1">
      <c r="B16" s="27"/>
      <c r="C16" s="15">
        <v>9678</v>
      </c>
      <c r="D16" s="16"/>
      <c r="E16" s="16">
        <v>218.4</v>
      </c>
      <c r="F16" s="16">
        <v>604.9</v>
      </c>
      <c r="G16" s="12">
        <f>C16/C15-1</f>
        <v>0.129987039826264</v>
      </c>
      <c r="H16" s="12">
        <f>(E16+F16-C16)/C16</f>
        <v>-0.914930770820417</v>
      </c>
      <c r="I16" s="12">
        <f>AVERAGE(H13:H16)</f>
        <v>-0.91799337520803</v>
      </c>
      <c r="J16" s="12"/>
    </row>
    <row r="17" ht="20.05" customHeight="1">
      <c r="B17" s="27"/>
      <c r="C17" s="15">
        <v>8934.700000000001</v>
      </c>
      <c r="D17" s="16"/>
      <c r="E17" s="16">
        <v>223.7</v>
      </c>
      <c r="F17" s="16">
        <v>222.4</v>
      </c>
      <c r="G17" s="12">
        <f>C17/C16-1</f>
        <v>-0.0768030584831577</v>
      </c>
      <c r="H17" s="12">
        <f>(E17+F17-C17)/C17</f>
        <v>-0.950071071216717</v>
      </c>
      <c r="I17" s="12">
        <f>AVERAGE(H14:H17)</f>
        <v>-0.9280378136172071</v>
      </c>
      <c r="J17" s="12"/>
    </row>
    <row r="18" ht="20.05" customHeight="1">
      <c r="B18" s="27"/>
      <c r="C18" s="15">
        <v>9565.200000000001</v>
      </c>
      <c r="D18" s="16"/>
      <c r="E18" s="16">
        <f>978.6+3.4-SUM(E15:E17)</f>
        <v>337.2</v>
      </c>
      <c r="F18" s="16">
        <v>730.1</v>
      </c>
      <c r="G18" s="12">
        <f>C18/C17-1</f>
        <v>0.0705675624251514</v>
      </c>
      <c r="H18" s="12">
        <f>(E18+F18-C18)/C18</f>
        <v>-0.888418433488061</v>
      </c>
      <c r="I18" s="12">
        <f>AVERAGE(H15:H18)</f>
        <v>-0.922907942887394</v>
      </c>
      <c r="J18" s="12"/>
    </row>
    <row r="19" ht="20.05" customHeight="1">
      <c r="B19" s="28">
        <v>2020</v>
      </c>
      <c r="C19" s="15">
        <v>9079.5</v>
      </c>
      <c r="D19" s="16"/>
      <c r="E19" s="16">
        <v>263</v>
      </c>
      <c r="F19" s="16">
        <v>366.2</v>
      </c>
      <c r="G19" s="12">
        <f>C19/C18-1</f>
        <v>-0.0507778195960356</v>
      </c>
      <c r="H19" s="12">
        <f>(E19+F19-C19)/C19</f>
        <v>-0.930701029792389</v>
      </c>
      <c r="I19" s="12">
        <f>AVERAGE(H16:H19)</f>
        <v>-0.921030326329396</v>
      </c>
      <c r="J19" s="12"/>
    </row>
    <row r="20" ht="20.05" customHeight="1">
      <c r="B20" s="27"/>
      <c r="C20" s="15">
        <v>7830.7</v>
      </c>
      <c r="D20" s="16"/>
      <c r="E20" s="16">
        <v>281.1</v>
      </c>
      <c r="F20" s="16">
        <v>-185.4</v>
      </c>
      <c r="G20" s="12">
        <f>C20/C19-1</f>
        <v>-0.137540613469905</v>
      </c>
      <c r="H20" s="12">
        <f>(E20+F20-C20)/C20</f>
        <v>-0.987778870343647</v>
      </c>
      <c r="I20" s="12">
        <f>AVERAGE(H17:H20)</f>
        <v>-0.9392423512102041</v>
      </c>
      <c r="J20" s="12"/>
    </row>
    <row r="21" ht="20.05" customHeight="1">
      <c r="B21" s="27"/>
      <c r="C21" s="15">
        <v>8015.1</v>
      </c>
      <c r="D21" s="16"/>
      <c r="E21" s="16">
        <v>292.2</v>
      </c>
      <c r="F21" s="16">
        <v>122.9</v>
      </c>
      <c r="G21" s="12">
        <f>C21/C20-1</f>
        <v>0.0235483417829824</v>
      </c>
      <c r="H21" s="12">
        <f>(E21+F21-C21)/C21</f>
        <v>-0.948210253147185</v>
      </c>
      <c r="I21" s="12">
        <f>AVERAGE(H18:H21)</f>
        <v>-0.938777146692821</v>
      </c>
      <c r="J21" s="12"/>
    </row>
    <row r="22" ht="20.05" customHeight="1">
      <c r="B22" s="27"/>
      <c r="C22" s="15">
        <f>36964.9-SUM(C19:C21)</f>
        <v>12039.6</v>
      </c>
      <c r="D22" s="16">
        <v>8576.156999999999</v>
      </c>
      <c r="E22" s="16">
        <f>3.3+75.5+1155-SUM(E19:E21)</f>
        <v>397.5</v>
      </c>
      <c r="F22" s="16">
        <f>1221.9-SUM(F19:F21)</f>
        <v>918.2</v>
      </c>
      <c r="G22" s="12">
        <f>C22/C21-1</f>
        <v>0.502114758393532</v>
      </c>
      <c r="H22" s="12">
        <f>(E22+F22-C22)/C22</f>
        <v>-0.890718960762816</v>
      </c>
      <c r="I22" s="12">
        <f>AVERAGE(H19:H22)</f>
        <v>-0.939352278511509</v>
      </c>
      <c r="J22" s="12"/>
    </row>
    <row r="23" ht="20.05" customHeight="1">
      <c r="B23" s="28">
        <v>2021</v>
      </c>
      <c r="C23" s="15">
        <v>10769</v>
      </c>
      <c r="D23" s="16">
        <v>11437.62</v>
      </c>
      <c r="E23" s="16">
        <f>302.4+6.4+2.1+13+0.8</f>
        <v>324.7</v>
      </c>
      <c r="F23" s="16">
        <v>915.6</v>
      </c>
      <c r="G23" s="12">
        <f>C23/C22-1</f>
        <v>-0.10553506761022</v>
      </c>
      <c r="H23" s="12">
        <f>(E23+F23-C23)/C23</f>
        <v>-0.884826817717523</v>
      </c>
      <c r="I23" s="12">
        <f>AVERAGE(H20:H23)</f>
        <v>-0.927883725492793</v>
      </c>
      <c r="J23" s="12"/>
    </row>
    <row r="24" ht="20.05" customHeight="1">
      <c r="B24" s="27"/>
      <c r="C24" s="15">
        <f>22108.2-C23</f>
        <v>11339.2</v>
      </c>
      <c r="D24" s="16">
        <v>10769</v>
      </c>
      <c r="E24" s="16">
        <f>650.7-E23</f>
        <v>326</v>
      </c>
      <c r="F24" s="16">
        <f>1647.9-F23</f>
        <v>732.3</v>
      </c>
      <c r="G24" s="12">
        <f>C24/C23-1</f>
        <v>0.0529482774630885</v>
      </c>
      <c r="H24" s="12">
        <f>(E24+F24-C24)/C24</f>
        <v>-0.90666890080429</v>
      </c>
      <c r="I24" s="12">
        <f>AVERAGE(H21:H24)</f>
        <v>-0.907606233107954</v>
      </c>
      <c r="J24" s="12"/>
    </row>
    <row r="25" ht="20.05" customHeight="1">
      <c r="B25" s="27"/>
      <c r="C25" s="15">
        <f>32803.4-SUM(C23:C24)</f>
        <v>10695.2</v>
      </c>
      <c r="D25" s="14">
        <v>11225.808</v>
      </c>
      <c r="E25" s="16">
        <f>978.3-SUM(E23:E24)</f>
        <v>327.6</v>
      </c>
      <c r="F25" s="16">
        <f>1616.4-SUM(F23:F24)</f>
        <v>-31.5</v>
      </c>
      <c r="G25" s="12">
        <f>C25/C24-1</f>
        <v>-0.0567941300973614</v>
      </c>
      <c r="H25" s="12">
        <f>(E25+F25-C25)/C25</f>
        <v>-0.97231468322238</v>
      </c>
      <c r="I25" s="12">
        <f>AVERAGE(H22:H25)</f>
        <v>-0.913632340626752</v>
      </c>
      <c r="J25" s="12"/>
    </row>
    <row r="26" ht="20.05" customHeight="1">
      <c r="B26" s="27"/>
      <c r="C26" s="15">
        <f>44878-C25-C24-C23</f>
        <v>12074.6</v>
      </c>
      <c r="D26" s="14">
        <v>11443.864</v>
      </c>
      <c r="E26" s="16">
        <f>1305-E25-E24-E23</f>
        <v>326.7</v>
      </c>
      <c r="F26" s="16">
        <f>2131-F25-F24-F23</f>
        <v>514.6</v>
      </c>
      <c r="G26" s="12">
        <f>C26/C25-1</f>
        <v>0.128973745231506</v>
      </c>
      <c r="H26" s="12">
        <f>(E26+F26-C26)/C26</f>
        <v>-0.930324814072516</v>
      </c>
      <c r="I26" s="12">
        <f>AVERAGE(H23:H26)</f>
        <v>-0.9235338039541769</v>
      </c>
      <c r="J26" s="12"/>
    </row>
    <row r="27" ht="20.05" customHeight="1">
      <c r="B27" s="28">
        <v>2022</v>
      </c>
      <c r="C27" s="15">
        <v>12154</v>
      </c>
      <c r="D27" s="14">
        <v>11712.362</v>
      </c>
      <c r="E27" s="16">
        <v>333</v>
      </c>
      <c r="F27" s="16">
        <v>647</v>
      </c>
      <c r="G27" s="12">
        <f>C27/C26-1</f>
        <v>0.00657578718963775</v>
      </c>
      <c r="H27" s="12">
        <f>(E27+F27-C27)/C27</f>
        <v>-0.91936810926444</v>
      </c>
      <c r="I27" s="12">
        <f>AVERAGE(H24:H27)</f>
        <v>-0.932169126840907</v>
      </c>
      <c r="J27" s="12">
        <v>-0.9235338039541769</v>
      </c>
    </row>
    <row r="28" ht="20.05" customHeight="1">
      <c r="B28" s="27"/>
      <c r="C28" s="15"/>
      <c r="D28" s="14">
        <f>'Model'!C6</f>
        <v>13004.78</v>
      </c>
      <c r="E28" s="16"/>
      <c r="F28" s="16"/>
      <c r="G28" s="12"/>
      <c r="H28" s="12"/>
      <c r="I28" s="12"/>
      <c r="J28" s="12">
        <f>'Model'!C7</f>
        <v>-0.932169126840907</v>
      </c>
    </row>
    <row r="29" ht="20.05" customHeight="1">
      <c r="B29" s="27"/>
      <c r="C29" s="15"/>
      <c r="D29" s="16">
        <f>'Model'!D6</f>
        <v>12874.7322</v>
      </c>
      <c r="E29" s="16"/>
      <c r="F29" s="16"/>
      <c r="G29" s="12"/>
      <c r="H29" s="12"/>
      <c r="I29" s="12"/>
      <c r="J29" s="12"/>
    </row>
    <row r="30" ht="20.05" customHeight="1">
      <c r="B30" s="27"/>
      <c r="C30" s="15"/>
      <c r="D30" s="16">
        <f>'Model'!E6</f>
        <v>13518.46881</v>
      </c>
      <c r="E30" s="16">
        <f>SUM(C22:C27)</f>
        <v>69071.600000000006</v>
      </c>
      <c r="F30" s="16">
        <f>SUM(D22:D27)</f>
        <v>65164.811</v>
      </c>
      <c r="G30" s="12"/>
      <c r="H30" s="12"/>
      <c r="I30" s="12"/>
      <c r="J30" s="12"/>
    </row>
    <row r="31" ht="20.05" customHeight="1">
      <c r="B31" s="28">
        <v>2023</v>
      </c>
      <c r="C31" s="15"/>
      <c r="D31" s="16">
        <f>'Model'!F6</f>
        <v>13383.2841219</v>
      </c>
      <c r="E31" s="16"/>
      <c r="F31" s="16"/>
      <c r="G31" s="12"/>
      <c r="H31" s="12"/>
      <c r="I31" s="12"/>
      <c r="J31" s="12"/>
    </row>
  </sheetData>
  <mergeCells count="1">
    <mergeCell ref="B1:J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B3:O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9" customWidth="1"/>
    <col min="2" max="2" width="9.5625" style="29" customWidth="1"/>
    <col min="3" max="15" width="10.3672" style="29" customWidth="1"/>
    <col min="16" max="16384" width="16.3516" style="29" customWidth="1"/>
  </cols>
  <sheetData>
    <row r="1" ht="13.85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46</v>
      </c>
      <c r="D3" t="s" s="5">
        <v>8</v>
      </c>
      <c r="E3" t="s" s="5">
        <v>9</v>
      </c>
      <c r="F3" t="s" s="5">
        <v>10</v>
      </c>
      <c r="G3" t="s" s="5">
        <v>12</v>
      </c>
      <c r="H3" t="s" s="5">
        <v>15</v>
      </c>
      <c r="I3" t="s" s="5">
        <v>11</v>
      </c>
      <c r="J3" t="s" s="5">
        <v>47</v>
      </c>
      <c r="K3" t="s" s="5">
        <v>3</v>
      </c>
      <c r="L3" t="s" s="5">
        <v>34</v>
      </c>
      <c r="M3" t="s" s="5">
        <v>29</v>
      </c>
      <c r="N3" t="s" s="5">
        <v>34</v>
      </c>
      <c r="O3" s="30"/>
    </row>
    <row r="4" ht="21.4" customHeight="1">
      <c r="B4" s="23">
        <v>2016</v>
      </c>
      <c r="C4" s="24">
        <v>6311</v>
      </c>
      <c r="D4" s="25">
        <v>95.90000000000001</v>
      </c>
      <c r="E4" s="25">
        <v>-121.6</v>
      </c>
      <c r="F4" s="25">
        <v>-0.7</v>
      </c>
      <c r="G4" s="25"/>
      <c r="H4" s="25"/>
      <c r="I4" s="25">
        <v>177.32</v>
      </c>
      <c r="J4" s="31">
        <f>D4+E4+F4</f>
        <v>-26.4</v>
      </c>
      <c r="K4" s="31"/>
      <c r="L4" s="25"/>
      <c r="M4" s="25">
        <f>-(I4-F4)</f>
        <v>-178.02</v>
      </c>
      <c r="N4" s="25"/>
      <c r="O4" s="25">
        <v>1</v>
      </c>
    </row>
    <row r="5" ht="21.2" customHeight="1">
      <c r="B5" s="27"/>
      <c r="C5" s="15">
        <v>6697</v>
      </c>
      <c r="D5" s="16">
        <v>292</v>
      </c>
      <c r="E5" s="16">
        <v>-177.1</v>
      </c>
      <c r="F5" s="16">
        <v>-0.66</v>
      </c>
      <c r="G5" s="16"/>
      <c r="H5" s="16"/>
      <c r="I5" s="16">
        <v>-457.62</v>
      </c>
      <c r="J5" s="32">
        <f>D5+E5+F5</f>
        <v>114.24</v>
      </c>
      <c r="K5" s="32"/>
      <c r="L5" s="16"/>
      <c r="M5" s="16">
        <f>-(I5-F5)+M4</f>
        <v>278.94</v>
      </c>
      <c r="N5" s="16"/>
      <c r="O5" s="16">
        <f>1+O4</f>
        <v>2</v>
      </c>
    </row>
    <row r="6" ht="21.2" customHeight="1">
      <c r="B6" s="27"/>
      <c r="C6" s="15">
        <v>7529.1</v>
      </c>
      <c r="D6" s="16">
        <v>1899.2</v>
      </c>
      <c r="E6" s="16">
        <v>-213.5</v>
      </c>
      <c r="F6" s="16">
        <v>-0.54</v>
      </c>
      <c r="G6" s="16"/>
      <c r="H6" s="16"/>
      <c r="I6" s="16">
        <v>-1204.7</v>
      </c>
      <c r="J6" s="32">
        <f>D6+E6+F6</f>
        <v>1685.16</v>
      </c>
      <c r="K6" s="32"/>
      <c r="L6" s="16"/>
      <c r="M6" s="16">
        <f>-(I6-F6)+M5</f>
        <v>1483.1</v>
      </c>
      <c r="N6" s="16"/>
      <c r="O6" s="16">
        <f>1+O5</f>
        <v>3</v>
      </c>
    </row>
    <row r="7" ht="21.2" customHeight="1">
      <c r="B7" s="27"/>
      <c r="C7" s="15">
        <v>6479.1</v>
      </c>
      <c r="D7" s="16">
        <v>466.5</v>
      </c>
      <c r="E7" s="16">
        <v>14.7</v>
      </c>
      <c r="F7" s="16">
        <v>-0.5</v>
      </c>
      <c r="G7" s="16"/>
      <c r="H7" s="16"/>
      <c r="I7" s="16">
        <v>1038.4</v>
      </c>
      <c r="J7" s="32">
        <f>D7+E7+F7</f>
        <v>480.7</v>
      </c>
      <c r="K7" s="32"/>
      <c r="L7" s="16"/>
      <c r="M7" s="16">
        <f>-(I7-F7)+M6</f>
        <v>444.2</v>
      </c>
      <c r="N7" s="16"/>
      <c r="O7" s="16">
        <f>1+O6</f>
        <v>4</v>
      </c>
    </row>
    <row r="8" ht="21.2" customHeight="1">
      <c r="B8" s="28">
        <v>2017</v>
      </c>
      <c r="C8" s="15">
        <v>6582.4</v>
      </c>
      <c r="D8" s="16">
        <v>-503.6</v>
      </c>
      <c r="E8" s="16">
        <v>-210</v>
      </c>
      <c r="F8" s="16">
        <v>-0.4</v>
      </c>
      <c r="G8" s="16"/>
      <c r="H8" s="16"/>
      <c r="I8" s="16">
        <v>1320.6</v>
      </c>
      <c r="J8" s="32">
        <f>D8+E8+F8</f>
        <v>-714</v>
      </c>
      <c r="K8" s="32">
        <f>AVERAGE(J5:J8)</f>
        <v>391.525</v>
      </c>
      <c r="L8" s="16"/>
      <c r="M8" s="16">
        <f>-(I8-F8)+M7</f>
        <v>-876.8</v>
      </c>
      <c r="N8" s="16"/>
      <c r="O8" s="16">
        <f>1+O7</f>
        <v>5</v>
      </c>
    </row>
    <row r="9" ht="21.2" customHeight="1">
      <c r="B9" s="27"/>
      <c r="C9" s="15">
        <v>7047.3</v>
      </c>
      <c r="D9" s="16">
        <v>-48.1</v>
      </c>
      <c r="E9" s="16">
        <v>-457.4</v>
      </c>
      <c r="F9" s="16">
        <v>0.4</v>
      </c>
      <c r="G9" s="16"/>
      <c r="H9" s="16"/>
      <c r="I9" s="16">
        <v>-1341.3</v>
      </c>
      <c r="J9" s="32">
        <f>D9+E9+F9</f>
        <v>-505.1</v>
      </c>
      <c r="K9" s="32">
        <f>AVERAGE(J6:J9)</f>
        <v>236.69</v>
      </c>
      <c r="L9" s="16"/>
      <c r="M9" s="16">
        <f>-(I9-F9)+M8</f>
        <v>464.9</v>
      </c>
      <c r="N9" s="16"/>
      <c r="O9" s="16">
        <f>1+O8</f>
        <v>6</v>
      </c>
    </row>
    <row r="10" ht="21.2" customHeight="1">
      <c r="B10" s="27"/>
      <c r="C10" s="15">
        <v>7880.7</v>
      </c>
      <c r="D10" s="16">
        <v>629.8</v>
      </c>
      <c r="E10" s="16">
        <v>-358.5</v>
      </c>
      <c r="F10" s="16">
        <v>-0.8</v>
      </c>
      <c r="G10" s="16"/>
      <c r="H10" s="16"/>
      <c r="I10" s="16">
        <v>-750</v>
      </c>
      <c r="J10" s="32">
        <f>D10+E10+F10</f>
        <v>270.5</v>
      </c>
      <c r="K10" s="32">
        <f>AVERAGE(J7:J10)</f>
        <v>-116.975</v>
      </c>
      <c r="L10" s="16"/>
      <c r="M10" s="16">
        <f>-(I10-F10)+M9</f>
        <v>1214.1</v>
      </c>
      <c r="N10" s="16"/>
      <c r="O10" s="16">
        <f>1+O9</f>
        <v>7</v>
      </c>
    </row>
    <row r="11" ht="21.2" customHeight="1">
      <c r="B11" s="27"/>
      <c r="C11" s="15">
        <v>7820.9</v>
      </c>
      <c r="D11" s="16">
        <v>692.6</v>
      </c>
      <c r="E11" s="16">
        <v>-338.3</v>
      </c>
      <c r="F11" s="16">
        <v>-0.2</v>
      </c>
      <c r="G11" s="16"/>
      <c r="H11" s="16"/>
      <c r="I11" s="16">
        <v>303.5</v>
      </c>
      <c r="J11" s="32">
        <f>D11+E11+F11</f>
        <v>354.1</v>
      </c>
      <c r="K11" s="32">
        <f>AVERAGE(J8:J11)</f>
        <v>-148.625</v>
      </c>
      <c r="L11" s="16"/>
      <c r="M11" s="16">
        <f>-(I11-F11)+M10</f>
        <v>910.4</v>
      </c>
      <c r="N11" s="16"/>
      <c r="O11" s="16">
        <f>1+O10</f>
        <v>8</v>
      </c>
    </row>
    <row r="12" ht="21.2" customHeight="1">
      <c r="B12" s="28">
        <v>2018</v>
      </c>
      <c r="C12" s="15">
        <v>7765</v>
      </c>
      <c r="D12" s="16">
        <v>534.3</v>
      </c>
      <c r="E12" s="16">
        <v>-573.3</v>
      </c>
      <c r="F12" s="16">
        <v>-0.03</v>
      </c>
      <c r="G12" s="16"/>
      <c r="H12" s="16"/>
      <c r="I12" s="16">
        <v>-192.3</v>
      </c>
      <c r="J12" s="32">
        <f>D12+E12+F12</f>
        <v>-39.03</v>
      </c>
      <c r="K12" s="32">
        <f>AVERAGE(J9:J12)</f>
        <v>20.1175</v>
      </c>
      <c r="L12" s="16"/>
      <c r="M12" s="16">
        <f>-(I12-F12)+M11</f>
        <v>1102.67</v>
      </c>
      <c r="N12" s="16"/>
      <c r="O12" s="16">
        <f>1+O11</f>
        <v>9</v>
      </c>
    </row>
    <row r="13" ht="21.2" customHeight="1">
      <c r="B13" s="27"/>
      <c r="C13" s="15">
        <v>8762.6</v>
      </c>
      <c r="D13" s="16">
        <v>913.4</v>
      </c>
      <c r="E13" s="16">
        <v>-824</v>
      </c>
      <c r="F13" s="16">
        <v>0.03</v>
      </c>
      <c r="G13" s="16"/>
      <c r="H13" s="16"/>
      <c r="I13" s="16">
        <v>-43</v>
      </c>
      <c r="J13" s="32">
        <f>D13+E13+F13</f>
        <v>89.43000000000001</v>
      </c>
      <c r="K13" s="32">
        <f>AVERAGE(J10:J13)</f>
        <v>168.75</v>
      </c>
      <c r="L13" s="16"/>
      <c r="M13" s="16">
        <f>-(I13-F13)+M12</f>
        <v>1145.7</v>
      </c>
      <c r="N13" s="16"/>
      <c r="O13" s="16">
        <f>1+O12</f>
        <v>10</v>
      </c>
    </row>
    <row r="14" ht="21.2" customHeight="1">
      <c r="B14" s="27"/>
      <c r="C14" s="15">
        <v>8564.9</v>
      </c>
      <c r="D14" s="16">
        <v>-41.7</v>
      </c>
      <c r="E14" s="16">
        <v>-248</v>
      </c>
      <c r="F14" s="16">
        <v>-1.6</v>
      </c>
      <c r="G14" s="16"/>
      <c r="H14" s="16"/>
      <c r="I14" s="16">
        <v>-396.9</v>
      </c>
      <c r="J14" s="32">
        <f>D14+E14+F14</f>
        <v>-291.3</v>
      </c>
      <c r="K14" s="32">
        <f>AVERAGE(J11:J14)</f>
        <v>28.3</v>
      </c>
      <c r="L14" s="16"/>
      <c r="M14" s="16">
        <f>-(I14-F14)+M13</f>
        <v>1541</v>
      </c>
      <c r="N14" s="16"/>
      <c r="O14" s="16">
        <f>1+O13</f>
        <v>11</v>
      </c>
    </row>
    <row r="15" ht="21.2" customHeight="1">
      <c r="B15" s="27"/>
      <c r="C15" s="15">
        <v>8725.4</v>
      </c>
      <c r="D15" s="16">
        <v>520.7</v>
      </c>
      <c r="E15" s="16">
        <v>-594.5</v>
      </c>
      <c r="F15" s="16">
        <v>-0.4</v>
      </c>
      <c r="G15" s="16"/>
      <c r="H15" s="16"/>
      <c r="I15" s="16">
        <v>348.7</v>
      </c>
      <c r="J15" s="32">
        <f>D15+E15+F15</f>
        <v>-74.2</v>
      </c>
      <c r="K15" s="32">
        <f>AVERAGE(J12:J15)</f>
        <v>-78.77500000000001</v>
      </c>
      <c r="L15" s="16"/>
      <c r="M15" s="16">
        <f>-(I15-F15)+M14</f>
        <v>1191.9</v>
      </c>
      <c r="N15" s="16"/>
      <c r="O15" s="16">
        <f>1+O14</f>
        <v>12</v>
      </c>
    </row>
    <row r="16" ht="21.2" customHeight="1">
      <c r="B16" s="28">
        <v>2019</v>
      </c>
      <c r="C16" s="15">
        <v>8480.700000000001</v>
      </c>
      <c r="D16" s="16">
        <v>-785.1</v>
      </c>
      <c r="E16" s="16">
        <v>-617.7</v>
      </c>
      <c r="F16" s="16">
        <v>0</v>
      </c>
      <c r="G16" s="16"/>
      <c r="H16" s="16"/>
      <c r="I16" s="16">
        <v>1267</v>
      </c>
      <c r="J16" s="32">
        <f>D16+E16+F16</f>
        <v>-1402.8</v>
      </c>
      <c r="K16" s="32">
        <f>AVERAGE(J13:J16)</f>
        <v>-419.7175</v>
      </c>
      <c r="L16" s="16"/>
      <c r="M16" s="16">
        <f>-(I16-F16)+M15</f>
        <v>-75.09999999999999</v>
      </c>
      <c r="N16" s="16"/>
      <c r="O16" s="16">
        <f>1+O15</f>
        <v>13</v>
      </c>
    </row>
    <row r="17" ht="21.2" customHeight="1">
      <c r="B17" s="27"/>
      <c r="C17" s="15">
        <v>9500.6</v>
      </c>
      <c r="D17" s="16">
        <v>-57.9</v>
      </c>
      <c r="E17" s="16">
        <v>-846.5</v>
      </c>
      <c r="F17" s="16">
        <v>0</v>
      </c>
      <c r="G17" s="16"/>
      <c r="H17" s="16"/>
      <c r="I17" s="16">
        <v>868</v>
      </c>
      <c r="J17" s="32">
        <f>D17+E17+F17</f>
        <v>-904.4</v>
      </c>
      <c r="K17" s="32">
        <f>AVERAGE(J14:J17)</f>
        <v>-668.175</v>
      </c>
      <c r="L17" s="16"/>
      <c r="M17" s="16">
        <f>-(I17-F17)+M16</f>
        <v>-943.1</v>
      </c>
      <c r="N17" s="16"/>
      <c r="O17" s="16">
        <f>1+O16</f>
        <v>14</v>
      </c>
    </row>
    <row r="18" ht="21.2" customHeight="1">
      <c r="B18" s="27"/>
      <c r="C18" s="15">
        <v>8977.1</v>
      </c>
      <c r="D18" s="16">
        <v>926.5</v>
      </c>
      <c r="E18" s="16">
        <v>-841.2</v>
      </c>
      <c r="F18" s="16">
        <v>0</v>
      </c>
      <c r="G18" s="16"/>
      <c r="H18" s="16"/>
      <c r="I18" s="16">
        <v>8.5</v>
      </c>
      <c r="J18" s="32">
        <f>D18+E18+F18</f>
        <v>85.3</v>
      </c>
      <c r="K18" s="32">
        <f>AVERAGE(J15:J18)</f>
        <v>-574.025</v>
      </c>
      <c r="L18" s="16"/>
      <c r="M18" s="16">
        <f>-(I18-F18)+M17</f>
        <v>-951.6</v>
      </c>
      <c r="N18" s="16"/>
      <c r="O18" s="16">
        <f>1+O17</f>
        <v>15</v>
      </c>
    </row>
    <row r="19" ht="21.2" customHeight="1">
      <c r="B19" s="27"/>
      <c r="C19" s="15">
        <v>9509.9</v>
      </c>
      <c r="D19" s="16">
        <v>1796</v>
      </c>
      <c r="E19" s="16">
        <v>-929.9</v>
      </c>
      <c r="F19" s="16">
        <v>0</v>
      </c>
      <c r="G19" s="16"/>
      <c r="H19" s="16"/>
      <c r="I19" s="16">
        <v>-910.8</v>
      </c>
      <c r="J19" s="32">
        <f>D19+E19+F19</f>
        <v>866.1</v>
      </c>
      <c r="K19" s="32">
        <f>AVERAGE(J16:J19)</f>
        <v>-338.95</v>
      </c>
      <c r="L19" s="16"/>
      <c r="M19" s="16">
        <f>-(I19-F19)+M18</f>
        <v>-40.8</v>
      </c>
      <c r="N19" s="16"/>
      <c r="O19" s="16">
        <f>1+O18</f>
        <v>16</v>
      </c>
    </row>
    <row r="20" ht="21.2" customHeight="1">
      <c r="B20" s="28">
        <v>2020</v>
      </c>
      <c r="C20" s="15">
        <v>9033.200000000001</v>
      </c>
      <c r="D20" s="16">
        <v>69.09999999999999</v>
      </c>
      <c r="E20" s="16">
        <v>-585.8</v>
      </c>
      <c r="F20" s="16">
        <v>-0.8</v>
      </c>
      <c r="G20" s="16"/>
      <c r="H20" s="16"/>
      <c r="I20" s="16">
        <v>1715</v>
      </c>
      <c r="J20" s="32">
        <f>D20+E20+F20</f>
        <v>-517.5</v>
      </c>
      <c r="K20" s="32">
        <f>AVERAGE(J17:J20)</f>
        <v>-117.625</v>
      </c>
      <c r="L20" s="16"/>
      <c r="M20" s="16">
        <f>-(I20-F20)+M19</f>
        <v>-1756.6</v>
      </c>
      <c r="N20" s="16"/>
      <c r="O20" s="16">
        <f>1+O19</f>
        <v>17</v>
      </c>
    </row>
    <row r="21" ht="21.2" customHeight="1">
      <c r="B21" s="27"/>
      <c r="C21" s="15">
        <v>8196.700000000001</v>
      </c>
      <c r="D21" s="16">
        <v>-535.9</v>
      </c>
      <c r="E21" s="16">
        <v>-404.2</v>
      </c>
      <c r="F21" s="16">
        <v>-4.6</v>
      </c>
      <c r="G21" s="16"/>
      <c r="H21" s="16"/>
      <c r="I21" s="16">
        <v>1049.5</v>
      </c>
      <c r="J21" s="32">
        <f>D21+E21+F21</f>
        <v>-944.7</v>
      </c>
      <c r="K21" s="32">
        <f>AVERAGE(J18:J21)</f>
        <v>-127.7</v>
      </c>
      <c r="L21" s="16"/>
      <c r="M21" s="16">
        <f>-(I21-F21)+M20</f>
        <v>-2810.7</v>
      </c>
      <c r="N21" s="16"/>
      <c r="O21" s="16">
        <f>1+O20</f>
        <v>18</v>
      </c>
    </row>
    <row r="22" ht="21.2" customHeight="1">
      <c r="B22" s="27"/>
      <c r="C22" s="15">
        <v>7997.1</v>
      </c>
      <c r="D22" s="16">
        <v>821.8</v>
      </c>
      <c r="E22" s="16">
        <v>-313</v>
      </c>
      <c r="F22" s="16">
        <v>-7.1</v>
      </c>
      <c r="G22" s="16"/>
      <c r="H22" s="16"/>
      <c r="I22" s="16">
        <v>-604.9</v>
      </c>
      <c r="J22" s="32">
        <f>D22+E22+F22</f>
        <v>501.7</v>
      </c>
      <c r="K22" s="32">
        <f>AVERAGE(J19:J22)</f>
        <v>-23.6</v>
      </c>
      <c r="L22" s="16"/>
      <c r="M22" s="16">
        <f>-(I22-F22)+M21</f>
        <v>-2212.9</v>
      </c>
      <c r="N22" s="16"/>
      <c r="O22" s="16">
        <f>1+O21</f>
        <v>19</v>
      </c>
    </row>
    <row r="23" ht="21.2" customHeight="1">
      <c r="B23" s="27"/>
      <c r="C23" s="15">
        <f>37180.9-SUM(C20:C22)</f>
        <v>11953.9</v>
      </c>
      <c r="D23" s="16">
        <f>4099.4-SUM(D20:D22)</f>
        <v>3744.4</v>
      </c>
      <c r="E23" s="16">
        <f>-1980.8-SUM(E20:E22)</f>
        <v>-677.8</v>
      </c>
      <c r="F23" s="16">
        <f>-23-SUM(F20:F22)</f>
        <v>-10.5</v>
      </c>
      <c r="G23" s="16"/>
      <c r="H23" s="16"/>
      <c r="I23" s="16">
        <f>-1794.6-SUM(I20:I22)</f>
        <v>-3954.2</v>
      </c>
      <c r="J23" s="16">
        <f>D23+E23+F23</f>
        <v>3056.1</v>
      </c>
      <c r="K23" s="32">
        <f>AVERAGE(J20:J23)</f>
        <v>523.9</v>
      </c>
      <c r="L23" s="16"/>
      <c r="M23" s="16">
        <f>-(I23-F23)+M22</f>
        <v>1730.8</v>
      </c>
      <c r="N23" s="16"/>
      <c r="O23" s="16">
        <f>1+O22</f>
        <v>20</v>
      </c>
    </row>
    <row r="24" ht="21.2" customHeight="1">
      <c r="B24" s="28">
        <v>2021</v>
      </c>
      <c r="C24" s="15">
        <v>10734.8</v>
      </c>
      <c r="D24" s="16">
        <v>467.6</v>
      </c>
      <c r="E24" s="16">
        <v>-236.7</v>
      </c>
      <c r="F24" s="16">
        <v>-7.7</v>
      </c>
      <c r="G24" s="16">
        <f>4889-120-418</f>
        <v>4351</v>
      </c>
      <c r="H24" s="16"/>
      <c r="I24" s="16">
        <v>4342.38</v>
      </c>
      <c r="J24" s="16">
        <f>D24+E24+F24</f>
        <v>223.2</v>
      </c>
      <c r="K24" s="32">
        <f>AVERAGE(J21:J24)</f>
        <v>709.075</v>
      </c>
      <c r="L24" s="16"/>
      <c r="M24" s="16">
        <f>-(I24-F24)+M23</f>
        <v>-2619.28</v>
      </c>
      <c r="N24" s="16"/>
      <c r="O24" s="16">
        <f>1+O23</f>
        <v>21</v>
      </c>
    </row>
    <row r="25" ht="21.2" customHeight="1">
      <c r="B25" s="27"/>
      <c r="C25" s="15">
        <f>21989.9-C24</f>
        <v>11255.1</v>
      </c>
      <c r="D25" s="16">
        <f>-367.7-D24</f>
        <v>-835.3</v>
      </c>
      <c r="E25" s="16">
        <f>-1385.8-E24</f>
        <v>-1149.1</v>
      </c>
      <c r="F25" s="16">
        <f>-17.4-F24</f>
        <v>-9.699999999999999</v>
      </c>
      <c r="G25" s="16">
        <f>4889+1049-3617-240-G24</f>
        <v>-2270</v>
      </c>
      <c r="H25" s="16">
        <f>-464-75</f>
        <v>-539</v>
      </c>
      <c r="I25" s="16">
        <f>1522.9-I24</f>
        <v>-2819.48</v>
      </c>
      <c r="J25" s="16">
        <f>D25+E25+F25</f>
        <v>-1994.1</v>
      </c>
      <c r="K25" s="32">
        <f>AVERAGE(J22:J25)</f>
        <v>446.725</v>
      </c>
      <c r="L25" s="16"/>
      <c r="M25" s="16">
        <f>-(I25-F25)+M24</f>
        <v>190.5</v>
      </c>
      <c r="N25" s="16"/>
      <c r="O25" s="16">
        <f>1+O24</f>
        <v>22</v>
      </c>
    </row>
    <row r="26" ht="21.2" customHeight="1">
      <c r="B26" s="27"/>
      <c r="C26" s="15">
        <f>32510.5-SUM(C24:C25)</f>
        <v>10520.6</v>
      </c>
      <c r="D26" s="16">
        <f>-716.1-SUM(D24:D25)</f>
        <v>-348.4</v>
      </c>
      <c r="E26" s="16">
        <f>-2018.2-SUM(E24:E25)</f>
        <v>-632.4</v>
      </c>
      <c r="F26" s="16">
        <f>-26.5-SUM(F24:F25)</f>
        <v>-9.1</v>
      </c>
      <c r="G26" s="16">
        <f>4889+2094+248-596-3617-G25-G24</f>
        <v>937</v>
      </c>
      <c r="H26" s="16">
        <f>-487-75-H25</f>
        <v>-23</v>
      </c>
      <c r="I26" s="16">
        <f>2427-SUM(I24:I25)</f>
        <v>904.1</v>
      </c>
      <c r="J26" s="16">
        <f>D26+E26+F26</f>
        <v>-989.9</v>
      </c>
      <c r="K26" s="32">
        <f>AVERAGE(J23:J26)</f>
        <v>73.825</v>
      </c>
      <c r="L26" s="16"/>
      <c r="M26" s="16">
        <f>-(I26-F26)+M25</f>
        <v>-722.7</v>
      </c>
      <c r="N26" s="16"/>
      <c r="O26" s="16">
        <f>1+O25</f>
        <v>23</v>
      </c>
    </row>
    <row r="27" ht="21.2" customHeight="1">
      <c r="B27" s="27"/>
      <c r="C27" s="15">
        <f>44445-C26-C25-C24</f>
        <v>11934.5</v>
      </c>
      <c r="D27" s="16">
        <f>701.2-D26-D25-D24</f>
        <v>1417.3</v>
      </c>
      <c r="E27" s="16">
        <f>-2525.3-E26-E25-E24</f>
        <v>-507.1</v>
      </c>
      <c r="F27" s="16">
        <f>-37-F26-F25-F24</f>
        <v>-10.5</v>
      </c>
      <c r="G27" s="16">
        <f>4891-3767+919.5+891-764-G26-G25-G24</f>
        <v>-847.5</v>
      </c>
      <c r="H27" s="16">
        <f>-489-75-H26-H25-H24</f>
        <v>-2</v>
      </c>
      <c r="I27" s="16">
        <f>1567-I26-I25-I24</f>
        <v>-860</v>
      </c>
      <c r="J27" s="16">
        <f>D27+E27+F27</f>
        <v>899.7</v>
      </c>
      <c r="K27" s="32">
        <f>AVERAGE(J24:J27)</f>
        <v>-465.275</v>
      </c>
      <c r="L27" s="16"/>
      <c r="M27" s="16">
        <f>-(I27-F27)+M26</f>
        <v>126.8</v>
      </c>
      <c r="N27" s="16"/>
      <c r="O27" s="16">
        <f>1+O26</f>
        <v>24</v>
      </c>
    </row>
    <row r="28" ht="21.2" customHeight="1">
      <c r="B28" s="28">
        <v>2022</v>
      </c>
      <c r="C28" s="15">
        <v>12046</v>
      </c>
      <c r="D28" s="16">
        <v>904.9</v>
      </c>
      <c r="E28" s="16">
        <v>-320.2</v>
      </c>
      <c r="F28" s="16">
        <v>-9</v>
      </c>
      <c r="G28" s="16">
        <f>-354-172</f>
        <v>-526</v>
      </c>
      <c r="H28" s="16">
        <v>0</v>
      </c>
      <c r="I28" s="16">
        <v>-535</v>
      </c>
      <c r="J28" s="16">
        <f>D28+E28+F28</f>
        <v>575.7</v>
      </c>
      <c r="K28" s="32">
        <f>AVERAGE(J25:J28)</f>
        <v>-377.15</v>
      </c>
      <c r="L28" s="16">
        <v>479.7942769018</v>
      </c>
      <c r="M28" s="16">
        <f>-(I28-F28)+M27</f>
        <v>652.8</v>
      </c>
      <c r="N28" s="16">
        <v>1860.1446335693</v>
      </c>
      <c r="O28" s="16">
        <f>1+O27</f>
        <v>25</v>
      </c>
    </row>
    <row r="29" ht="21.2" customHeight="1">
      <c r="B29" s="27"/>
      <c r="C29" s="15"/>
      <c r="D29" s="16"/>
      <c r="E29" s="16"/>
      <c r="F29" s="16"/>
      <c r="G29" s="16"/>
      <c r="H29" s="16"/>
      <c r="I29" s="16"/>
      <c r="J29" s="16"/>
      <c r="K29" s="19"/>
      <c r="L29" s="32">
        <f>SUM('Model'!F9:F11)</f>
        <v>585.3498477247</v>
      </c>
      <c r="M29" s="19"/>
      <c r="N29" s="16">
        <f>'Model'!F34</f>
        <v>2952.1993003384</v>
      </c>
      <c r="O29" s="16"/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3" customWidth="1"/>
    <col min="2" max="11" width="9.21875" style="33" customWidth="1"/>
    <col min="12" max="16384" width="16.3516" style="33" customWidth="1"/>
  </cols>
  <sheetData>
    <row r="1" ht="7.55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48</v>
      </c>
      <c r="D3" t="s" s="5">
        <v>49</v>
      </c>
      <c r="E3" t="s" s="5">
        <v>23</v>
      </c>
      <c r="F3" t="s" s="5">
        <v>24</v>
      </c>
      <c r="G3" t="s" s="5">
        <v>12</v>
      </c>
      <c r="H3" t="s" s="5">
        <v>15</v>
      </c>
      <c r="I3" t="s" s="5">
        <v>50</v>
      </c>
      <c r="J3" t="s" s="5">
        <v>51</v>
      </c>
      <c r="K3" t="s" s="5">
        <v>34</v>
      </c>
    </row>
    <row r="4" ht="20.25" customHeight="1">
      <c r="B4" s="23">
        <v>2016</v>
      </c>
      <c r="C4" s="24">
        <v>1039</v>
      </c>
      <c r="D4" s="25">
        <v>17425</v>
      </c>
      <c r="E4" s="25">
        <f>D4-C4</f>
        <v>16386</v>
      </c>
      <c r="F4" s="25">
        <f>17+1162</f>
        <v>1179</v>
      </c>
      <c r="G4" s="25">
        <v>11014</v>
      </c>
      <c r="H4" s="25">
        <v>6411</v>
      </c>
      <c r="I4" s="25">
        <f>G4+H4-C4-E4</f>
        <v>0</v>
      </c>
      <c r="J4" s="25">
        <f>C4-G4</f>
        <v>-9975</v>
      </c>
      <c r="K4" s="25"/>
    </row>
    <row r="5" ht="20.05" customHeight="1">
      <c r="B5" s="27"/>
      <c r="C5" s="15">
        <v>694</v>
      </c>
      <c r="D5" s="16">
        <v>18134</v>
      </c>
      <c r="E5" s="16">
        <f>D5-C5</f>
        <v>17440</v>
      </c>
      <c r="F5" s="16">
        <f>18+1330</f>
        <v>1348</v>
      </c>
      <c r="G5" s="16">
        <v>10629</v>
      </c>
      <c r="H5" s="16">
        <v>7505</v>
      </c>
      <c r="I5" s="16">
        <f>G5+H5-C5-E5</f>
        <v>0</v>
      </c>
      <c r="J5" s="16">
        <f>C5-G5</f>
        <v>-9935</v>
      </c>
      <c r="K5" s="16"/>
    </row>
    <row r="6" ht="20.05" customHeight="1">
      <c r="B6" s="27"/>
      <c r="C6" s="15">
        <v>1170</v>
      </c>
      <c r="D6" s="16">
        <v>18342</v>
      </c>
      <c r="E6" s="16">
        <f>D6-C6</f>
        <v>17172</v>
      </c>
      <c r="F6" s="16">
        <f>18+1464</f>
        <v>1482</v>
      </c>
      <c r="G6" s="16">
        <v>9384</v>
      </c>
      <c r="H6" s="16">
        <v>8958</v>
      </c>
      <c r="I6" s="16">
        <f>G6+H6-C6-E6</f>
        <v>0</v>
      </c>
      <c r="J6" s="16">
        <f>C6-G6</f>
        <v>-8214</v>
      </c>
      <c r="K6" s="16"/>
    </row>
    <row r="7" ht="20.05" customHeight="1">
      <c r="B7" s="27"/>
      <c r="C7" s="15">
        <v>2701</v>
      </c>
      <c r="D7" s="16">
        <v>19251</v>
      </c>
      <c r="E7" s="16">
        <f>D7-C7</f>
        <v>16550</v>
      </c>
      <c r="F7" s="16">
        <f>19+1613</f>
        <v>1632</v>
      </c>
      <c r="G7" s="16">
        <v>9878</v>
      </c>
      <c r="H7" s="16">
        <v>9373</v>
      </c>
      <c r="I7" s="16">
        <f>G7+H7-C7-E7</f>
        <v>0</v>
      </c>
      <c r="J7" s="16">
        <f>C7-G7</f>
        <v>-7177</v>
      </c>
      <c r="K7" s="16"/>
    </row>
    <row r="8" ht="20.05" customHeight="1">
      <c r="B8" s="28">
        <v>2017</v>
      </c>
      <c r="C8" s="15">
        <v>3304</v>
      </c>
      <c r="D8" s="16">
        <v>21034</v>
      </c>
      <c r="E8" s="16">
        <f>D8-C8</f>
        <v>17730</v>
      </c>
      <c r="F8" s="16">
        <f>20+1774</f>
        <v>1794</v>
      </c>
      <c r="G8" s="16">
        <v>11684</v>
      </c>
      <c r="H8" s="16">
        <v>9350</v>
      </c>
      <c r="I8" s="16">
        <f>G8+H8-C8-E8</f>
        <v>0</v>
      </c>
      <c r="J8" s="16">
        <f>C8-G8</f>
        <v>-8380</v>
      </c>
      <c r="K8" s="16"/>
    </row>
    <row r="9" ht="20.05" customHeight="1">
      <c r="B9" s="27"/>
      <c r="C9" s="15">
        <v>1455</v>
      </c>
      <c r="D9" s="16">
        <v>20497</v>
      </c>
      <c r="E9" s="16">
        <f>D9-C9</f>
        <v>19042</v>
      </c>
      <c r="F9" s="16">
        <f>20+1937</f>
        <v>1957</v>
      </c>
      <c r="G9" s="16">
        <f>11285</f>
        <v>11285</v>
      </c>
      <c r="H9" s="16">
        <v>9212</v>
      </c>
      <c r="I9" s="16">
        <f>G9+H9-C9-E9</f>
        <v>0</v>
      </c>
      <c r="J9" s="16">
        <f>C9-G9</f>
        <v>-9830</v>
      </c>
      <c r="K9" s="16"/>
    </row>
    <row r="10" ht="20.05" customHeight="1">
      <c r="B10" s="27"/>
      <c r="C10" s="15">
        <v>985</v>
      </c>
      <c r="D10" s="16">
        <v>20215</v>
      </c>
      <c r="E10" s="16">
        <f>D10-C10</f>
        <v>19230</v>
      </c>
      <c r="F10" s="16">
        <f>21+2105</f>
        <v>2126</v>
      </c>
      <c r="G10" s="16">
        <v>10639</v>
      </c>
      <c r="H10" s="16">
        <v>9576</v>
      </c>
      <c r="I10" s="16">
        <f>G10+H10-C10-E10</f>
        <v>0</v>
      </c>
      <c r="J10" s="16">
        <f>C10-G10</f>
        <v>-9654</v>
      </c>
      <c r="K10" s="16"/>
    </row>
    <row r="11" ht="20.05" customHeight="1">
      <c r="B11" s="27"/>
      <c r="C11" s="15">
        <v>1642</v>
      </c>
      <c r="D11" s="16">
        <v>19920</v>
      </c>
      <c r="E11" s="16">
        <f>D11-C11</f>
        <v>18278</v>
      </c>
      <c r="F11" s="16">
        <f>16+4618</f>
        <v>4634</v>
      </c>
      <c r="G11" s="16">
        <v>11298</v>
      </c>
      <c r="H11" s="16">
        <v>8622</v>
      </c>
      <c r="I11" s="16">
        <f>G11+H11-C11-E11</f>
        <v>0</v>
      </c>
      <c r="J11" s="16">
        <f>C11-G11</f>
        <v>-9656</v>
      </c>
      <c r="K11" s="16"/>
    </row>
    <row r="12" ht="20.05" customHeight="1">
      <c r="B12" s="28">
        <v>2018</v>
      </c>
      <c r="C12" s="15">
        <v>1413</v>
      </c>
      <c r="D12" s="16">
        <v>21017</v>
      </c>
      <c r="E12" s="16">
        <f>D12-C12</f>
        <v>19604</v>
      </c>
      <c r="F12" s="16">
        <f>16+4480</f>
        <v>4496</v>
      </c>
      <c r="G12" s="16">
        <v>11934</v>
      </c>
      <c r="H12" s="16">
        <v>9083</v>
      </c>
      <c r="I12" s="16">
        <f>G12+H12-C12-E12</f>
        <v>0</v>
      </c>
      <c r="J12" s="16">
        <f>C12-G12</f>
        <v>-10521</v>
      </c>
      <c r="K12" s="16"/>
    </row>
    <row r="13" ht="20.05" customHeight="1">
      <c r="B13" s="27"/>
      <c r="C13" s="15">
        <v>1488</v>
      </c>
      <c r="D13" s="16">
        <v>21993</v>
      </c>
      <c r="E13" s="16">
        <f>D13-C13</f>
        <v>20505</v>
      </c>
      <c r="F13" s="16">
        <f>4764+46</f>
        <v>4810</v>
      </c>
      <c r="G13" s="16">
        <v>12426</v>
      </c>
      <c r="H13" s="16">
        <v>9567</v>
      </c>
      <c r="I13" s="16">
        <f>G13+H13-C13-E13</f>
        <v>0</v>
      </c>
      <c r="J13" s="16">
        <f>C13-G13</f>
        <v>-10938</v>
      </c>
      <c r="K13" s="16"/>
    </row>
    <row r="14" ht="20.05" customHeight="1">
      <c r="B14" s="27"/>
      <c r="C14" s="15">
        <v>824</v>
      </c>
      <c r="D14" s="16">
        <v>22611</v>
      </c>
      <c r="E14" s="16">
        <f>D14-C14</f>
        <v>21787</v>
      </c>
      <c r="F14" s="16">
        <f>17+4835</f>
        <v>4852</v>
      </c>
      <c r="G14" s="16">
        <v>12936</v>
      </c>
      <c r="H14" s="16">
        <v>9675</v>
      </c>
      <c r="I14" s="16">
        <f>G14+H14-C14-E14</f>
        <v>0</v>
      </c>
      <c r="J14" s="16">
        <f>C14-G14</f>
        <v>-12112</v>
      </c>
      <c r="K14" s="16"/>
    </row>
    <row r="15" ht="20.05" customHeight="1">
      <c r="B15" s="27"/>
      <c r="C15" s="15">
        <v>1087</v>
      </c>
      <c r="D15" s="16">
        <v>23038</v>
      </c>
      <c r="E15" s="16">
        <f>D15-C15</f>
        <v>21951</v>
      </c>
      <c r="F15" s="16">
        <f>5785+23</f>
        <v>5808</v>
      </c>
      <c r="G15" s="16">
        <v>12823</v>
      </c>
      <c r="H15" s="16">
        <v>10215</v>
      </c>
      <c r="I15" s="16">
        <f>G15+H15-C15-E15</f>
        <v>0</v>
      </c>
      <c r="J15" s="16">
        <f>C15-G15</f>
        <v>-11736</v>
      </c>
      <c r="K15" s="16"/>
    </row>
    <row r="16" ht="20.05" customHeight="1">
      <c r="B16" s="28">
        <v>2019</v>
      </c>
      <c r="C16" s="15">
        <v>939</v>
      </c>
      <c r="D16" s="16">
        <v>24236</v>
      </c>
      <c r="E16" s="16">
        <f>D16-C16</f>
        <v>23297</v>
      </c>
      <c r="F16" s="16">
        <f>17+5486</f>
        <v>5503</v>
      </c>
      <c r="G16" s="16">
        <v>13794</v>
      </c>
      <c r="H16" s="16">
        <v>10442</v>
      </c>
      <c r="I16" s="16">
        <f>G16+H16-C16-E16</f>
        <v>0</v>
      </c>
      <c r="J16" s="16">
        <f>C16-G16</f>
        <v>-12855</v>
      </c>
      <c r="K16" s="16"/>
    </row>
    <row r="17" ht="20.05" customHeight="1">
      <c r="B17" s="27"/>
      <c r="C17" s="15">
        <v>898</v>
      </c>
      <c r="D17" s="16">
        <v>25216</v>
      </c>
      <c r="E17" s="16">
        <f>D17-C17</f>
        <v>24318</v>
      </c>
      <c r="F17" s="16">
        <f>18+5694</f>
        <v>5712</v>
      </c>
      <c r="G17" s="16">
        <v>14785</v>
      </c>
      <c r="H17" s="16">
        <v>10431</v>
      </c>
      <c r="I17" s="16">
        <f>G17+H17-C17-E17</f>
        <v>0</v>
      </c>
      <c r="J17" s="16">
        <f>C17-G17</f>
        <v>-13887</v>
      </c>
      <c r="K17" s="16"/>
    </row>
    <row r="18" ht="20.05" customHeight="1">
      <c r="B18" s="27"/>
      <c r="C18" s="15">
        <v>998</v>
      </c>
      <c r="D18" s="16">
        <v>25592</v>
      </c>
      <c r="E18" s="16">
        <f>D18-C18</f>
        <v>24594</v>
      </c>
      <c r="F18" s="16">
        <f>18+5897</f>
        <v>5915</v>
      </c>
      <c r="G18" s="16">
        <v>14877</v>
      </c>
      <c r="H18" s="16">
        <v>10715</v>
      </c>
      <c r="I18" s="16">
        <f>G18+H18-C18-E18</f>
        <v>0</v>
      </c>
      <c r="J18" s="16">
        <f>C18-G18</f>
        <v>-13879</v>
      </c>
      <c r="K18" s="16"/>
    </row>
    <row r="19" ht="20.05" customHeight="1">
      <c r="B19" s="27"/>
      <c r="C19" s="15">
        <v>938</v>
      </c>
      <c r="D19" s="16">
        <v>25185</v>
      </c>
      <c r="E19" s="16">
        <f>D19-C19</f>
        <v>24247</v>
      </c>
      <c r="F19" s="16">
        <f>6698+26</f>
        <v>6724</v>
      </c>
      <c r="G19" s="16">
        <v>13737</v>
      </c>
      <c r="H19" s="16">
        <v>11448</v>
      </c>
      <c r="I19" s="16">
        <f>G19+H19-C19-E19</f>
        <v>0</v>
      </c>
      <c r="J19" s="16">
        <f>C19-G19</f>
        <v>-12799</v>
      </c>
      <c r="K19" s="16"/>
    </row>
    <row r="20" ht="20.05" customHeight="1">
      <c r="B20" s="28">
        <v>2020</v>
      </c>
      <c r="C20" s="15">
        <v>2226</v>
      </c>
      <c r="D20" s="16">
        <v>27644</v>
      </c>
      <c r="E20" s="16">
        <f>D20-C20</f>
        <v>25418</v>
      </c>
      <c r="F20" s="16">
        <f>6357+46+19</f>
        <v>6422</v>
      </c>
      <c r="G20" s="16">
        <v>16086</v>
      </c>
      <c r="H20" s="16">
        <v>11558</v>
      </c>
      <c r="I20" s="16">
        <f>G20+H20-C20-E20</f>
        <v>0</v>
      </c>
      <c r="J20" s="16">
        <f>C20-G20</f>
        <v>-13860</v>
      </c>
      <c r="K20" s="16"/>
    </row>
    <row r="21" ht="20.05" customHeight="1">
      <c r="B21" s="27"/>
      <c r="C21" s="15">
        <v>2261</v>
      </c>
      <c r="D21" s="16">
        <v>27796</v>
      </c>
      <c r="E21" s="16">
        <f>D21-C21</f>
        <v>25535</v>
      </c>
      <c r="F21" s="16">
        <f>19+61+6604</f>
        <v>6684</v>
      </c>
      <c r="G21" s="16">
        <v>16441</v>
      </c>
      <c r="H21" s="16">
        <v>11355</v>
      </c>
      <c r="I21" s="16">
        <f>G21+H21-C21-E21</f>
        <v>0</v>
      </c>
      <c r="J21" s="16">
        <f>C21-G21</f>
        <v>-14180</v>
      </c>
      <c r="K21" s="16"/>
    </row>
    <row r="22" ht="20.05" customHeight="1">
      <c r="B22" s="27"/>
      <c r="C22" s="15">
        <v>2189</v>
      </c>
      <c r="D22" s="16">
        <v>26798</v>
      </c>
      <c r="E22" s="16">
        <f>D22-C22</f>
        <v>24609</v>
      </c>
      <c r="F22" s="16">
        <f>6866+78+19</f>
        <v>6963</v>
      </c>
      <c r="G22" s="16">
        <v>15433</v>
      </c>
      <c r="H22" s="16">
        <v>11365</v>
      </c>
      <c r="I22" s="16">
        <f>G22+H22-C22-E22</f>
        <v>0</v>
      </c>
      <c r="J22" s="16">
        <f>C22-G22</f>
        <v>-13244</v>
      </c>
      <c r="K22" s="16"/>
    </row>
    <row r="23" ht="20.05" customHeight="1">
      <c r="B23" s="27"/>
      <c r="C23" s="15">
        <v>1336</v>
      </c>
      <c r="D23" s="16">
        <v>25952</v>
      </c>
      <c r="E23" s="16">
        <f>D23-C23</f>
        <v>24616</v>
      </c>
      <c r="F23" s="16">
        <f>86+75+7792</f>
        <v>7953</v>
      </c>
      <c r="G23" s="16">
        <v>14540</v>
      </c>
      <c r="H23" s="16">
        <v>11412</v>
      </c>
      <c r="I23" s="16">
        <f>G23+H23-C23-E23</f>
        <v>0</v>
      </c>
      <c r="J23" s="16">
        <f>C23-G23</f>
        <v>-13204</v>
      </c>
      <c r="K23" s="16"/>
    </row>
    <row r="24" ht="20.05" customHeight="1">
      <c r="B24" s="28">
        <v>2021</v>
      </c>
      <c r="C24" s="15">
        <v>6063.4</v>
      </c>
      <c r="D24" s="16">
        <v>32738</v>
      </c>
      <c r="E24" s="16">
        <f>D24-C24</f>
        <v>26674.6</v>
      </c>
      <c r="F24" s="16">
        <f>8079+86+29</f>
        <v>8194</v>
      </c>
      <c r="G24" s="16">
        <v>20381</v>
      </c>
      <c r="H24" s="16">
        <v>12356.9</v>
      </c>
      <c r="I24" s="16">
        <f>G24+H24-C24-E24</f>
        <v>-0.1</v>
      </c>
      <c r="J24" s="16">
        <f>C24-G24</f>
        <v>-14317.6</v>
      </c>
      <c r="K24" s="16"/>
    </row>
    <row r="25" ht="20.05" customHeight="1">
      <c r="B25" s="27"/>
      <c r="C25" s="15">
        <v>1128</v>
      </c>
      <c r="D25" s="16">
        <v>30160</v>
      </c>
      <c r="E25" s="16">
        <f>D25-C25</f>
        <v>29032</v>
      </c>
      <c r="F25" s="16">
        <f>29+101+8365</f>
        <v>8495</v>
      </c>
      <c r="G25" s="16">
        <v>17685</v>
      </c>
      <c r="H25" s="16">
        <v>12475</v>
      </c>
      <c r="I25" s="16">
        <f>G25+H25-C25-E25</f>
        <v>0</v>
      </c>
      <c r="J25" s="16">
        <f>C25-G25</f>
        <v>-16557</v>
      </c>
      <c r="K25" s="16"/>
    </row>
    <row r="26" ht="20.05" customHeight="1">
      <c r="B26" s="27"/>
      <c r="C26" s="15">
        <v>1040</v>
      </c>
      <c r="D26" s="16">
        <v>29617</v>
      </c>
      <c r="E26" s="16">
        <f>D26-C26</f>
        <v>28577</v>
      </c>
      <c r="F26" s="16">
        <f>8657+118+29</f>
        <v>8804</v>
      </c>
      <c r="G26" s="16">
        <v>17045</v>
      </c>
      <c r="H26" s="16">
        <v>12572</v>
      </c>
      <c r="I26" s="16">
        <f>G26+H26-C26-E26</f>
        <v>0</v>
      </c>
      <c r="J26" s="16">
        <f>C26-G26</f>
        <v>-16005</v>
      </c>
      <c r="K26" s="16"/>
    </row>
    <row r="27" ht="20.05" customHeight="1">
      <c r="B27" s="27"/>
      <c r="C27" s="15">
        <v>1085</v>
      </c>
      <c r="D27" s="16">
        <v>28590</v>
      </c>
      <c r="E27" s="16">
        <f>D27-C27</f>
        <v>27505</v>
      </c>
      <c r="F27" s="16">
        <f>F26+'Sales'!E26</f>
        <v>9130.700000000001</v>
      </c>
      <c r="G27" s="16">
        <v>15486</v>
      </c>
      <c r="H27" s="16">
        <f>D27-G27</f>
        <v>13104</v>
      </c>
      <c r="I27" s="16">
        <f>G27+H27-C27-E27</f>
        <v>0</v>
      </c>
      <c r="J27" s="16">
        <f>C27-G27</f>
        <v>-14401</v>
      </c>
      <c r="K27" s="16"/>
    </row>
    <row r="28" ht="20.05" customHeight="1">
      <c r="B28" s="28">
        <v>2022</v>
      </c>
      <c r="C28" s="15">
        <f>C27+5+'Cashflow '!D28+'Cashflow '!E28+'Cashflow '!I28</f>
        <v>1139.7</v>
      </c>
      <c r="D28" s="16">
        <v>30134</v>
      </c>
      <c r="E28" s="16">
        <f>D28-C28</f>
        <v>28994.3</v>
      </c>
      <c r="F28" s="16">
        <f>F27+'Sales'!E27</f>
        <v>9463.700000000001</v>
      </c>
      <c r="G28" s="16">
        <v>16427</v>
      </c>
      <c r="H28" s="16">
        <f>D28-G28</f>
        <v>13707</v>
      </c>
      <c r="I28" s="16">
        <f>G28+H28-C28-E28</f>
        <v>0</v>
      </c>
      <c r="J28" s="16">
        <f>C28-G28</f>
        <v>-15287.3</v>
      </c>
      <c r="K28" s="16">
        <v>-12879.8498297876</v>
      </c>
    </row>
    <row r="29" ht="20.05" customHeight="1">
      <c r="B29" s="27"/>
      <c r="C29" s="15"/>
      <c r="D29" s="16"/>
      <c r="E29" s="16"/>
      <c r="F29" s="16"/>
      <c r="G29" s="16"/>
      <c r="H29" s="16"/>
      <c r="I29" s="16"/>
      <c r="J29" s="16"/>
      <c r="K29" s="16">
        <f>'Model'!F32</f>
        <v>-13212.7206296954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4" customWidth="1"/>
    <col min="2" max="5" width="9.9375" style="34" customWidth="1"/>
    <col min="6" max="16384" width="16.3516" style="34" customWidth="1"/>
  </cols>
  <sheetData>
    <row r="1" ht="30.75" customHeight="1"/>
    <row r="2" ht="27.65" customHeight="1">
      <c r="B2" t="s" s="2">
        <v>52</v>
      </c>
      <c r="C2" s="2"/>
      <c r="D2" s="2"/>
      <c r="E2" s="2"/>
    </row>
    <row r="3" ht="20.25" customHeight="1">
      <c r="B3" s="4"/>
      <c r="C3" t="s" s="35">
        <v>53</v>
      </c>
      <c r="D3" t="s" s="35">
        <v>54</v>
      </c>
      <c r="E3" t="s" s="35">
        <v>55</v>
      </c>
    </row>
    <row r="4" ht="20.25" customHeight="1">
      <c r="B4" s="23">
        <v>2018</v>
      </c>
      <c r="C4" s="36">
        <v>1480</v>
      </c>
      <c r="D4" s="25"/>
      <c r="E4" s="25"/>
    </row>
    <row r="5" ht="20.05" customHeight="1">
      <c r="B5" s="27"/>
      <c r="C5" s="37">
        <v>1605</v>
      </c>
      <c r="D5" s="16"/>
      <c r="E5" s="16"/>
    </row>
    <row r="6" ht="20.05" customHeight="1">
      <c r="B6" s="27"/>
      <c r="C6" s="37">
        <v>2050</v>
      </c>
      <c r="D6" s="16"/>
      <c r="E6" s="16"/>
    </row>
    <row r="7" ht="20.05" customHeight="1">
      <c r="B7" s="27"/>
      <c r="C7" s="37">
        <v>2150</v>
      </c>
      <c r="D7" s="16"/>
      <c r="E7" s="16"/>
    </row>
    <row r="8" ht="20.05" customHeight="1">
      <c r="B8" s="28">
        <v>2019</v>
      </c>
      <c r="C8" s="37">
        <v>1755</v>
      </c>
      <c r="D8" s="16"/>
      <c r="E8" s="16"/>
    </row>
    <row r="9" ht="20.05" customHeight="1">
      <c r="B9" s="27"/>
      <c r="C9" s="37">
        <v>1550</v>
      </c>
      <c r="D9" s="16"/>
      <c r="E9" s="16"/>
    </row>
    <row r="10" ht="20.05" customHeight="1">
      <c r="B10" s="27"/>
      <c r="C10" s="37">
        <v>1580</v>
      </c>
      <c r="D10" s="16"/>
      <c r="E10" s="16"/>
    </row>
    <row r="11" ht="20.05" customHeight="1">
      <c r="B11" s="27"/>
      <c r="C11" s="37">
        <v>1535</v>
      </c>
      <c r="D11" s="16"/>
      <c r="E11" s="16"/>
    </row>
    <row r="12" ht="20.05" customHeight="1">
      <c r="B12" s="28">
        <v>2020</v>
      </c>
      <c r="C12" s="37">
        <v>950</v>
      </c>
      <c r="D12" s="16"/>
      <c r="E12" s="16"/>
    </row>
    <row r="13" ht="20.05" customHeight="1">
      <c r="B13" s="27"/>
      <c r="C13" s="37">
        <v>1185</v>
      </c>
      <c r="D13" s="16"/>
      <c r="E13" s="16"/>
    </row>
    <row r="14" ht="20.05" customHeight="1">
      <c r="B14" s="27"/>
      <c r="C14" s="37">
        <v>1105</v>
      </c>
      <c r="D14" s="16"/>
      <c r="E14" s="16"/>
    </row>
    <row r="15" ht="20.05" customHeight="1">
      <c r="B15" s="27"/>
      <c r="C15" s="15">
        <v>1465</v>
      </c>
      <c r="D15" s="16"/>
      <c r="E15" s="16"/>
    </row>
    <row r="16" ht="20.05" customHeight="1">
      <c r="B16" s="28">
        <v>2021</v>
      </c>
      <c r="C16" s="15">
        <v>1884.608398</v>
      </c>
      <c r="D16" s="38"/>
      <c r="E16" s="38"/>
    </row>
    <row r="17" ht="20.05" customHeight="1">
      <c r="B17" s="27"/>
      <c r="C17" s="15">
        <v>1730</v>
      </c>
      <c r="D17" s="38"/>
      <c r="E17" s="38"/>
    </row>
    <row r="18" ht="20.05" customHeight="1">
      <c r="B18" s="27"/>
      <c r="C18" s="15">
        <v>1890</v>
      </c>
      <c r="D18" s="38"/>
      <c r="E18" s="38"/>
    </row>
    <row r="19" ht="20.05" customHeight="1">
      <c r="B19" s="27"/>
      <c r="C19" s="15">
        <v>1720</v>
      </c>
      <c r="D19" s="38"/>
      <c r="E19" s="38"/>
    </row>
    <row r="20" ht="20.05" customHeight="1">
      <c r="B20" s="28">
        <v>2022</v>
      </c>
      <c r="C20" s="15">
        <v>1650</v>
      </c>
      <c r="D20" s="38">
        <v>2673.440326988730</v>
      </c>
      <c r="E20" s="16"/>
    </row>
    <row r="21" ht="20.05" customHeight="1">
      <c r="B21" s="27"/>
      <c r="C21" s="15">
        <v>1450</v>
      </c>
      <c r="D21" s="38">
        <v>2238.730666959420</v>
      </c>
      <c r="E21" s="38"/>
    </row>
    <row r="22" ht="20.05" customHeight="1">
      <c r="B22" s="27"/>
      <c r="C22" s="15"/>
      <c r="D22" s="38">
        <f>'Model'!F45</f>
        <v>2958.204072026490</v>
      </c>
      <c r="E22" s="3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