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" sheetId="4" r:id="rId7"/>
    <sheet name="Share price " sheetId="5" r:id="rId8"/>
  </sheets>
</workbook>
</file>

<file path=xl/sharedStrings.xml><?xml version="1.0" encoding="utf-8"?>
<sst xmlns="http://schemas.openxmlformats.org/spreadsheetml/2006/main" uniqueCount="56">
  <si>
    <t>Financial model</t>
  </si>
  <si>
    <t>$m</t>
  </si>
  <si>
    <t>4Q 2022</t>
  </si>
  <si>
    <t xml:space="preserve">Cashflow </t>
  </si>
  <si>
    <t xml:space="preserve">Growth </t>
  </si>
  <si>
    <t>Sales</t>
  </si>
  <si>
    <t xml:space="preserve">Cost ratio </t>
  </si>
  <si>
    <t xml:space="preserve">Cash costs </t>
  </si>
  <si>
    <t xml:space="preserve">Operating </t>
  </si>
  <si>
    <t>Investment</t>
  </si>
  <si>
    <t>Finance</t>
  </si>
  <si>
    <t xml:space="preserve">Liabilities </t>
  </si>
  <si>
    <t xml:space="preserve">Equity </t>
  </si>
  <si>
    <t xml:space="preserve">Before revolver </t>
  </si>
  <si>
    <t xml:space="preserve">Revolver </t>
  </si>
  <si>
    <t xml:space="preserve">Beginning </t>
  </si>
  <si>
    <t xml:space="preserve">Change </t>
  </si>
  <si>
    <t xml:space="preserve">Ending </t>
  </si>
  <si>
    <t xml:space="preserve">Profit </t>
  </si>
  <si>
    <t xml:space="preserve">Non cash costs </t>
  </si>
  <si>
    <t>Balance sheet</t>
  </si>
  <si>
    <t>Other assets</t>
  </si>
  <si>
    <t xml:space="preserve">Depreciation </t>
  </si>
  <si>
    <t>Net other assets</t>
  </si>
  <si>
    <t xml:space="preserve">Check </t>
  </si>
  <si>
    <t xml:space="preserve">Net cash </t>
  </si>
  <si>
    <t xml:space="preserve">Valuation </t>
  </si>
  <si>
    <t xml:space="preserve">Rupiah </t>
  </si>
  <si>
    <t xml:space="preserve">Capital </t>
  </si>
  <si>
    <t xml:space="preserve">Current value </t>
  </si>
  <si>
    <t>P/assets</t>
  </si>
  <si>
    <t>Yield</t>
  </si>
  <si>
    <t>Cashflow</t>
  </si>
  <si>
    <t xml:space="preserve">Payback </t>
  </si>
  <si>
    <t xml:space="preserve">Forecast </t>
  </si>
  <si>
    <t xml:space="preserve">Value </t>
  </si>
  <si>
    <t>Shares</t>
  </si>
  <si>
    <t>Target</t>
  </si>
  <si>
    <t xml:space="preserve">Current </t>
  </si>
  <si>
    <t>V target</t>
  </si>
  <si>
    <t xml:space="preserve">12 month growth </t>
  </si>
  <si>
    <t xml:space="preserve">Sales v forecast </t>
  </si>
  <si>
    <t>Non cash costs</t>
  </si>
  <si>
    <t>Profit</t>
  </si>
  <si>
    <t xml:space="preserve">Sales growth </t>
  </si>
  <si>
    <t>Cashflow costs</t>
  </si>
  <si>
    <t>Receipts</t>
  </si>
  <si>
    <t>Capex</t>
  </si>
  <si>
    <t xml:space="preserve">Leases </t>
  </si>
  <si>
    <t xml:space="preserve">Free cashflow </t>
  </si>
  <si>
    <t>Cash</t>
  </si>
  <si>
    <t>Assets</t>
  </si>
  <si>
    <t>Check</t>
  </si>
  <si>
    <t>Share price</t>
  </si>
  <si>
    <t>ITMG</t>
  </si>
  <si>
    <t xml:space="preserve">Previous 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</si>
</sst>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,##0%"/>
  </numFmts>
  <fonts count="5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16"/>
      <name val="Arial"/>
    </font>
    <font>
      <sz val="10"/>
      <color indexed="16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9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1" fontId="0" borderId="4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3" fontId="3" borderId="3" applyNumberFormat="1" applyFont="1" applyFill="0" applyBorder="1" applyAlignment="1" applyProtection="0">
      <alignment horizontal="right" vertical="center" wrapText="1" readingOrder="1"/>
    </xf>
    <xf numFmtId="0" fontId="4" borderId="4" applyNumberFormat="0" applyFont="1" applyFill="0" applyBorder="1" applyAlignment="1" applyProtection="0">
      <alignment horizontal="right" vertical="top" wrapText="1"/>
    </xf>
    <xf numFmtId="3" fontId="3" borderId="6" applyNumberFormat="1" applyFont="1" applyFill="0" applyBorder="1" applyAlignment="1" applyProtection="0">
      <alignment horizontal="right" vertical="center" wrapText="1" readingOrder="1"/>
    </xf>
    <xf numFmtId="0" fontId="4" borderId="7" applyNumberFormat="0" applyFont="1" applyFill="0" applyBorder="1" applyAlignment="1" applyProtection="0">
      <alignment horizontal="right" vertical="top" wrapText="1"/>
    </xf>
    <xf numFmtId="3" fontId="4" borderId="7" applyNumberFormat="1" applyFont="1" applyFill="0" applyBorder="1" applyAlignment="1" applyProtection="0">
      <alignment horizontal="right"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b8b8b8"/>
      <rgbColor rgb="fffefffe"/>
      <rgbColor rgb="ff32323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61821"/>
          <c:y val="0.0426778"/>
          <c:w val="0.794543"/>
          <c:h val="0.886395"/>
        </c:manualLayout>
      </c:layout>
      <c:lineChart>
        <c:grouping val="standard"/>
        <c:varyColors val="0"/>
        <c:ser>
          <c:idx val="0"/>
          <c:order val="0"/>
          <c:tx>
            <c:v>Region 1</c:v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 Neue"/>
                  </a:defRPr>
                </a:pPr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April</c:v>
              </c:pt>
              <c:pt idx="1">
                <c:v>May</c:v>
              </c:pt>
              <c:pt idx="2">
                <c:v>June</c:v>
              </c:pt>
              <c:pt idx="3">
                <c:v>July</c:v>
              </c:pt>
            </c:strLit>
          </c:cat>
          <c:val>
            <c:numLit>
              <c:ptCount val="4"/>
              <c:pt idx="0">
                <c:v>17.000000</c:v>
              </c:pt>
              <c:pt idx="1">
                <c:v>26.000000</c:v>
              </c:pt>
              <c:pt idx="2">
                <c:v>53.000000</c:v>
              </c:pt>
              <c:pt idx="3">
                <c:v>96.000000</c:v>
              </c:pt>
            </c:numLit>
          </c:val>
          <c:smooth val="0"/>
        </c:ser>
        <c:ser>
          <c:idx val="1"/>
          <c:order val="1"/>
          <c:tx>
            <c:v>Region 2</c:v>
          </c:tx>
          <c:spPr>
            <a:solidFill>
              <a:srgbClr val="FFFFFF"/>
            </a:solidFill>
            <a:ln w="508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 Neue"/>
                  </a:defRPr>
                </a:pPr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4"/>
              <c:pt idx="0">
                <c:v>April</c:v>
              </c:pt>
              <c:pt idx="1">
                <c:v>May</c:v>
              </c:pt>
              <c:pt idx="2">
                <c:v>June</c:v>
              </c:pt>
              <c:pt idx="3">
                <c:v>July</c:v>
              </c:pt>
            </c:strLit>
          </c:cat>
          <c:val>
            <c:numLit>
              <c:ptCount val="4"/>
              <c:pt idx="0">
                <c:v>55.000000</c:v>
              </c:pt>
              <c:pt idx="1">
                <c:v>43.000000</c:v>
              </c:pt>
              <c:pt idx="2">
                <c:v>70.000000</c:v>
              </c:pt>
              <c:pt idx="3">
                <c:v>58.000000</c:v>
              </c:pt>
            </c:numLit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  <c:max val="-0.6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2.5"/>
        <c:minorUnit val="1.25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344514"/>
          <c:y val="0.0774007"/>
          <c:w val="0.49225"/>
          <c:h val="0.110356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5</xdr:col>
      <xdr:colOff>299705</xdr:colOff>
      <xdr:row>0</xdr:row>
      <xdr:rowOff>218100</xdr:rowOff>
    </xdr:from>
    <xdr:to>
      <xdr:col>12</xdr:col>
      <xdr:colOff>554079</xdr:colOff>
      <xdr:row>45</xdr:row>
      <xdr:rowOff>218760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122405" y="218100"/>
          <a:ext cx="8966575" cy="1156083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12</xdr:col>
      <xdr:colOff>1071422</xdr:colOff>
      <xdr:row>38</xdr:row>
      <xdr:rowOff>149140</xdr:rowOff>
    </xdr:from>
    <xdr:to>
      <xdr:col>15</xdr:col>
      <xdr:colOff>98213</xdr:colOff>
      <xdr:row>52</xdr:row>
      <xdr:rowOff>98543</xdr:rowOff>
    </xdr:to>
    <xdr:graphicFrame>
      <xdr:nvGraphicFramePr>
        <xdr:cNvPr id="4" name="2D Line Chart"/>
        <xdr:cNvGraphicFramePr/>
      </xdr:nvGraphicFramePr>
      <xdr:xfrm>
        <a:off x="9301022" y="10064030"/>
        <a:ext cx="2760592" cy="3487624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E46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14.7656" style="1" customWidth="1"/>
    <col min="2" max="5" width="8.85156" style="1" customWidth="1"/>
    <col min="6" max="16384" width="16.3516" style="1" customWidth="1"/>
  </cols>
  <sheetData>
    <row r="1" ht="27.65" customHeight="1">
      <c r="A1" t="s" s="2">
        <v>0</v>
      </c>
      <c r="B1" s="2"/>
      <c r="C1" s="2"/>
      <c r="D1" s="2"/>
      <c r="E1" s="2"/>
    </row>
    <row r="2" ht="20.25" customHeight="1">
      <c r="A2" t="s" s="3">
        <v>1</v>
      </c>
      <c r="B2" s="4"/>
      <c r="C2" s="4"/>
      <c r="D2" s="4"/>
      <c r="E2" t="s" s="5">
        <v>2</v>
      </c>
    </row>
    <row r="3" ht="20.25" customHeight="1">
      <c r="A3" t="s" s="6">
        <v>3</v>
      </c>
      <c r="B3" s="7">
        <f>AVERAGE('Sales'!G22:G25)</f>
        <v>0.341418093577749</v>
      </c>
      <c r="C3" s="8"/>
      <c r="D3" s="8"/>
      <c r="E3" s="9">
        <f>AVERAGE(B4:E4)</f>
        <v>0.05</v>
      </c>
    </row>
    <row r="4" ht="20.05" customHeight="1">
      <c r="A4" t="s" s="10">
        <v>4</v>
      </c>
      <c r="B4" s="11">
        <v>-0.01</v>
      </c>
      <c r="C4" s="12">
        <v>0.07000000000000001</v>
      </c>
      <c r="D4" s="12">
        <v>0.07000000000000001</v>
      </c>
      <c r="E4" s="12">
        <v>0.07000000000000001</v>
      </c>
    </row>
    <row r="5" ht="20.05" customHeight="1">
      <c r="A5" t="s" s="10">
        <v>5</v>
      </c>
      <c r="B5" s="13">
        <f>'Sales'!C26*(1+B4)</f>
        <v>1386.495</v>
      </c>
      <c r="C5" s="14">
        <f>B5*(1+C4)</f>
        <v>1483.54965</v>
      </c>
      <c r="D5" s="14">
        <f>C5*(1+D4)</f>
        <v>1587.3981255</v>
      </c>
      <c r="E5" s="14">
        <f>D5*(1+E4)</f>
        <v>1698.515994285</v>
      </c>
    </row>
    <row r="6" ht="20.05" customHeight="1">
      <c r="A6" t="s" s="10">
        <v>6</v>
      </c>
      <c r="B6" s="11">
        <f>AVERAGE('Sales'!I26)</f>
        <v>-0.729944362899261</v>
      </c>
      <c r="C6" s="12">
        <f>B6</f>
        <v>-0.729944362899261</v>
      </c>
      <c r="D6" s="12">
        <f>C6</f>
        <v>-0.729944362899261</v>
      </c>
      <c r="E6" s="12">
        <f>D6</f>
        <v>-0.729944362899261</v>
      </c>
    </row>
    <row r="7" ht="20.05" customHeight="1">
      <c r="A7" t="s" s="10">
        <v>7</v>
      </c>
      <c r="B7" s="15">
        <f>B5*B6</f>
        <v>-1012.064209438010</v>
      </c>
      <c r="C7" s="16">
        <f>C5*C6</f>
        <v>-1082.908704098670</v>
      </c>
      <c r="D7" s="16">
        <f>D5*D6</f>
        <v>-1158.712313385580</v>
      </c>
      <c r="E7" s="16">
        <f>E5*E6</f>
        <v>-1239.822175322570</v>
      </c>
    </row>
    <row r="8" ht="20.05" customHeight="1">
      <c r="A8" t="s" s="10">
        <v>8</v>
      </c>
      <c r="B8" s="15">
        <f>B5+B7</f>
        <v>374.430790561990</v>
      </c>
      <c r="C8" s="16">
        <f>C5+C7</f>
        <v>400.640945901330</v>
      </c>
      <c r="D8" s="16">
        <f>D5+D7</f>
        <v>428.685812114420</v>
      </c>
      <c r="E8" s="16">
        <f>E5+E7</f>
        <v>458.693818962430</v>
      </c>
    </row>
    <row r="9" ht="20.05" customHeight="1">
      <c r="A9" t="s" s="10">
        <v>9</v>
      </c>
      <c r="B9" s="15">
        <f>AVERAGE('Cashflow '!F24:F27)</f>
        <v>-6.175</v>
      </c>
      <c r="C9" s="16">
        <f>B9</f>
        <v>-6.175</v>
      </c>
      <c r="D9" s="16">
        <f>C9</f>
        <v>-6.175</v>
      </c>
      <c r="E9" s="16">
        <f>D9</f>
        <v>-6.175</v>
      </c>
    </row>
    <row r="10" ht="20.05" customHeight="1">
      <c r="A10" t="s" s="10">
        <v>10</v>
      </c>
      <c r="B10" s="15">
        <f>B11+B12+B14</f>
        <v>-252.591553393393</v>
      </c>
      <c r="C10" s="16">
        <f>C11+C12+C14</f>
        <v>-269.776162130931</v>
      </c>
      <c r="D10" s="16">
        <f>D11+D12+D14</f>
        <v>-288.303193480094</v>
      </c>
      <c r="E10" s="16">
        <f>E11+E12+E14</f>
        <v>-308.259642023701</v>
      </c>
    </row>
    <row r="11" ht="20.05" customHeight="1">
      <c r="A11" t="s" s="10">
        <v>11</v>
      </c>
      <c r="B11" s="15">
        <f>-'Balance sheet'!G27/20</f>
        <v>-23.25</v>
      </c>
      <c r="C11" s="16">
        <f>-B25/20</f>
        <v>-22.0875</v>
      </c>
      <c r="D11" s="16">
        <f>-C25/20</f>
        <v>-20.983125</v>
      </c>
      <c r="E11" s="16">
        <f>-D25/20</f>
        <v>-19.93396875</v>
      </c>
    </row>
    <row r="12" ht="20.05" customHeight="1">
      <c r="A12" t="s" s="10">
        <v>12</v>
      </c>
      <c r="B12" s="15">
        <f>IF(B20&gt;0,-B20*0.7,0)</f>
        <v>-229.341553393393</v>
      </c>
      <c r="C12" s="16">
        <f>IF(C20&gt;0,-C20*0.7,0)</f>
        <v>-247.688662130931</v>
      </c>
      <c r="D12" s="16">
        <f>IF(D20&gt;0,-D20*0.7,0)</f>
        <v>-267.320068480094</v>
      </c>
      <c r="E12" s="16">
        <f>IF(E20&gt;0,-E20*0.7,0)</f>
        <v>-288.325673273701</v>
      </c>
    </row>
    <row r="13" ht="20.05" customHeight="1">
      <c r="A13" t="s" s="10">
        <v>13</v>
      </c>
      <c r="B13" s="15">
        <f>B8+B9+B11+B12</f>
        <v>115.664237168597</v>
      </c>
      <c r="C13" s="16">
        <f>C8+C9+C11+C12</f>
        <v>124.689783770399</v>
      </c>
      <c r="D13" s="16">
        <f>D8+D9+D11+D12</f>
        <v>134.207618634326</v>
      </c>
      <c r="E13" s="16">
        <f>E8+E9+E11+E12</f>
        <v>144.259176938729</v>
      </c>
    </row>
    <row r="14" ht="20.05" customHeight="1">
      <c r="A14" t="s" s="10">
        <v>14</v>
      </c>
      <c r="B14" s="15">
        <f>-MIN(0,B13)</f>
        <v>0</v>
      </c>
      <c r="C14" s="16">
        <f>-MIN(B26,C13)</f>
        <v>0</v>
      </c>
      <c r="D14" s="16">
        <f>-MIN(C26,D13)</f>
        <v>0</v>
      </c>
      <c r="E14" s="16">
        <f>-MIN(D26,E13)</f>
        <v>0</v>
      </c>
    </row>
    <row r="15" ht="20.05" customHeight="1">
      <c r="A15" t="s" s="10">
        <v>15</v>
      </c>
      <c r="B15" s="15">
        <f>'Balance sheet'!C27</f>
        <v>691</v>
      </c>
      <c r="C15" s="16">
        <f>B17</f>
        <v>806.664237168597</v>
      </c>
      <c r="D15" s="16">
        <f>C17</f>
        <v>931.354020938996</v>
      </c>
      <c r="E15" s="16">
        <f>D17</f>
        <v>1065.561639573320</v>
      </c>
    </row>
    <row r="16" ht="20.05" customHeight="1">
      <c r="A16" t="s" s="10">
        <v>16</v>
      </c>
      <c r="B16" s="15">
        <f>B8+B9+B10</f>
        <v>115.664237168597</v>
      </c>
      <c r="C16" s="16">
        <f>C8+C9+C10</f>
        <v>124.689783770399</v>
      </c>
      <c r="D16" s="16">
        <f>D8+D9+D10</f>
        <v>134.207618634326</v>
      </c>
      <c r="E16" s="16">
        <f>E8+E9+E10</f>
        <v>144.259176938729</v>
      </c>
    </row>
    <row r="17" ht="20.05" customHeight="1">
      <c r="A17" t="s" s="10">
        <v>17</v>
      </c>
      <c r="B17" s="15">
        <f>B15+B16</f>
        <v>806.664237168597</v>
      </c>
      <c r="C17" s="16">
        <f>C15+C16</f>
        <v>931.354020938996</v>
      </c>
      <c r="D17" s="16">
        <f>D15+D16</f>
        <v>1065.561639573320</v>
      </c>
      <c r="E17" s="16">
        <f>E15+E16</f>
        <v>1209.820816512050</v>
      </c>
    </row>
    <row r="18" ht="20.05" customHeight="1">
      <c r="A18" t="s" s="17">
        <v>18</v>
      </c>
      <c r="B18" s="15"/>
      <c r="C18" s="16"/>
      <c r="D18" s="18"/>
      <c r="E18" s="19"/>
    </row>
    <row r="19" ht="20.05" customHeight="1">
      <c r="A19" t="s" s="10">
        <v>19</v>
      </c>
      <c r="B19" s="15">
        <f>-AVERAGE('Sales'!E26)</f>
        <v>-46.8</v>
      </c>
      <c r="C19" s="16">
        <f>B19</f>
        <v>-46.8</v>
      </c>
      <c r="D19" s="16">
        <f>C19</f>
        <v>-46.8</v>
      </c>
      <c r="E19" s="16">
        <f>D19</f>
        <v>-46.8</v>
      </c>
    </row>
    <row r="20" ht="20.05" customHeight="1">
      <c r="A20" t="s" s="10">
        <v>18</v>
      </c>
      <c r="B20" s="15">
        <f>B5+B7+B19</f>
        <v>327.630790561990</v>
      </c>
      <c r="C20" s="16">
        <f>C5+C7+C19</f>
        <v>353.840945901330</v>
      </c>
      <c r="D20" s="16">
        <f>D5+D7+D19</f>
        <v>381.885812114420</v>
      </c>
      <c r="E20" s="16">
        <f>E5+E7+E19</f>
        <v>411.893818962430</v>
      </c>
    </row>
    <row r="21" ht="20.05" customHeight="1">
      <c r="A21" t="s" s="17">
        <v>20</v>
      </c>
      <c r="B21" s="15"/>
      <c r="C21" s="16"/>
      <c r="D21" s="18"/>
      <c r="E21" s="16"/>
    </row>
    <row r="22" ht="20.05" customHeight="1">
      <c r="A22" t="s" s="10">
        <v>21</v>
      </c>
      <c r="B22" s="15">
        <f>'Balance sheet'!E27+'Balance sheet'!F27-B9</f>
        <v>2626.175</v>
      </c>
      <c r="C22" s="16">
        <f>B22-C9</f>
        <v>2632.35</v>
      </c>
      <c r="D22" s="16">
        <f>C22-D9</f>
        <v>2638.525</v>
      </c>
      <c r="E22" s="16">
        <f>D22-E9</f>
        <v>2644.7</v>
      </c>
    </row>
    <row r="23" ht="20.05" customHeight="1">
      <c r="A23" t="s" s="10">
        <v>22</v>
      </c>
      <c r="B23" s="15">
        <f>'Balance sheet'!F27-B19</f>
        <v>1691.8</v>
      </c>
      <c r="C23" s="16">
        <f>B23-C19</f>
        <v>1738.6</v>
      </c>
      <c r="D23" s="16">
        <f>C23-D19</f>
        <v>1785.4</v>
      </c>
      <c r="E23" s="16">
        <f>D23-E19</f>
        <v>1832.2</v>
      </c>
    </row>
    <row r="24" ht="20.05" customHeight="1">
      <c r="A24" t="s" s="10">
        <v>23</v>
      </c>
      <c r="B24" s="15">
        <f>B22-B23</f>
        <v>934.375</v>
      </c>
      <c r="C24" s="16">
        <f>C22-C23</f>
        <v>893.75</v>
      </c>
      <c r="D24" s="16">
        <f>D22-D23</f>
        <v>853.125</v>
      </c>
      <c r="E24" s="16">
        <f>E22-E23</f>
        <v>812.5</v>
      </c>
    </row>
    <row r="25" ht="20.05" customHeight="1">
      <c r="A25" t="s" s="10">
        <v>11</v>
      </c>
      <c r="B25" s="15">
        <f>'Balance sheet'!G27+B11</f>
        <v>441.75</v>
      </c>
      <c r="C25" s="16">
        <f>B25+C11</f>
        <v>419.6625</v>
      </c>
      <c r="D25" s="16">
        <f>C25+D11</f>
        <v>398.679375</v>
      </c>
      <c r="E25" s="16">
        <f>D25+E11</f>
        <v>378.74540625</v>
      </c>
    </row>
    <row r="26" ht="20.05" customHeight="1">
      <c r="A26" t="s" s="10">
        <v>14</v>
      </c>
      <c r="B26" s="15">
        <f>B14</f>
        <v>0</v>
      </c>
      <c r="C26" s="16">
        <f>B26+C14</f>
        <v>0</v>
      </c>
      <c r="D26" s="16">
        <f>C26+D14</f>
        <v>0</v>
      </c>
      <c r="E26" s="16">
        <f>D26+E14</f>
        <v>0</v>
      </c>
    </row>
    <row r="27" ht="20.05" customHeight="1">
      <c r="A27" t="s" s="10">
        <v>12</v>
      </c>
      <c r="B27" s="15">
        <f>'Balance sheet'!H27+B20+B12</f>
        <v>1299.2892371686</v>
      </c>
      <c r="C27" s="16">
        <f>B27+C20+C12</f>
        <v>1405.441520939</v>
      </c>
      <c r="D27" s="16">
        <f>C27+D20+D12</f>
        <v>1520.007264573330</v>
      </c>
      <c r="E27" s="16">
        <f>D27+E20+E12</f>
        <v>1643.575410262060</v>
      </c>
    </row>
    <row r="28" ht="20.05" customHeight="1">
      <c r="A28" t="s" s="10">
        <v>24</v>
      </c>
      <c r="B28" s="15">
        <f>B25+B26+B27-B17-B24</f>
        <v>3e-12</v>
      </c>
      <c r="C28" s="16">
        <f>C25+C26+C27-C17-C24</f>
        <v>4e-12</v>
      </c>
      <c r="D28" s="16">
        <f>D25+D26+D27-D17-D24</f>
        <v>9.999999999999999e-12</v>
      </c>
      <c r="E28" s="16">
        <f>E25+E26+E27-E17-E24</f>
        <v>9.999999999999999e-12</v>
      </c>
    </row>
    <row r="29" ht="20.05" customHeight="1">
      <c r="A29" t="s" s="10">
        <v>25</v>
      </c>
      <c r="B29" s="15">
        <f>B17-B25-B26</f>
        <v>364.914237168597</v>
      </c>
      <c r="C29" s="16">
        <f>C17-C25-C26</f>
        <v>511.691520938996</v>
      </c>
      <c r="D29" s="16">
        <f>D17-D25-D26</f>
        <v>666.882264573320</v>
      </c>
      <c r="E29" s="16">
        <f>E17-E25-E26</f>
        <v>831.075410262050</v>
      </c>
    </row>
    <row r="30" ht="20.05" customHeight="1">
      <c r="A30" t="s" s="17">
        <v>26</v>
      </c>
      <c r="B30" s="15"/>
      <c r="C30" s="16"/>
      <c r="D30" s="16"/>
      <c r="E30" s="16"/>
    </row>
    <row r="31" ht="20.05" customHeight="1">
      <c r="A31" t="s" s="10">
        <v>27</v>
      </c>
      <c r="B31" s="15"/>
      <c r="C31" s="16"/>
      <c r="D31" s="16"/>
      <c r="E31" s="16">
        <v>14</v>
      </c>
    </row>
    <row r="32" ht="20.05" customHeight="1">
      <c r="A32" t="s" s="10">
        <v>28</v>
      </c>
      <c r="B32" s="15">
        <f>'Cashflow '!N27-B10</f>
        <v>1109.991553393390</v>
      </c>
      <c r="C32" s="16">
        <f>B32-C10</f>
        <v>1379.767715524320</v>
      </c>
      <c r="D32" s="16">
        <f>C32-D10</f>
        <v>1668.070909004410</v>
      </c>
      <c r="E32" s="16">
        <f>D32-E10</f>
        <v>1976.330551028110</v>
      </c>
    </row>
    <row r="33" ht="20.05" customHeight="1">
      <c r="A33" t="s" s="10">
        <v>29</v>
      </c>
      <c r="B33" s="15"/>
      <c r="C33" s="16"/>
      <c r="D33" s="16"/>
      <c r="E33" s="16">
        <f>27410/E31</f>
        <v>1957.857142857140</v>
      </c>
    </row>
    <row r="34" ht="20.05" customHeight="1">
      <c r="A34" t="s" s="10">
        <v>30</v>
      </c>
      <c r="B34" s="15"/>
      <c r="C34" s="16"/>
      <c r="D34" s="16"/>
      <c r="E34" s="20">
        <f>E33/(E17+E24)</f>
        <v>0.96812391331357</v>
      </c>
    </row>
    <row r="35" ht="20.05" customHeight="1">
      <c r="A35" t="s" s="10">
        <v>31</v>
      </c>
      <c r="B35" s="15"/>
      <c r="C35" s="16"/>
      <c r="D35" s="16"/>
      <c r="E35" s="21">
        <f>-(B12+C12+D12+E12)/E33</f>
        <v>0.527452148919872</v>
      </c>
    </row>
    <row r="36" ht="20.05" customHeight="1">
      <c r="A36" t="s" s="10">
        <v>32</v>
      </c>
      <c r="B36" s="15"/>
      <c r="C36" s="16"/>
      <c r="D36" s="16"/>
      <c r="E36" s="16">
        <f>SUM(B8:E9)</f>
        <v>1637.751367540170</v>
      </c>
    </row>
    <row r="37" ht="20.05" customHeight="1">
      <c r="A37" t="s" s="10">
        <v>33</v>
      </c>
      <c r="B37" s="15"/>
      <c r="C37" s="16"/>
      <c r="D37" s="16"/>
      <c r="E37" s="16">
        <f>'Balance sheet'!E27/E36</f>
        <v>0.59532846030494</v>
      </c>
    </row>
    <row r="38" ht="20.05" customHeight="1">
      <c r="A38" t="s" s="10">
        <v>26</v>
      </c>
      <c r="B38" s="15"/>
      <c r="C38" s="16"/>
      <c r="D38" s="16"/>
      <c r="E38" s="16">
        <f>E33/E36</f>
        <v>1.19545443933761</v>
      </c>
    </row>
    <row r="39" ht="20.05" customHeight="1">
      <c r="A39" t="s" s="10">
        <v>34</v>
      </c>
      <c r="B39" s="15"/>
      <c r="C39" s="16"/>
      <c r="D39" s="16"/>
      <c r="E39" s="16">
        <v>5</v>
      </c>
    </row>
    <row r="40" ht="20.05" customHeight="1">
      <c r="A40" t="s" s="10">
        <v>35</v>
      </c>
      <c r="B40" s="15"/>
      <c r="C40" s="16"/>
      <c r="D40" s="16"/>
      <c r="E40" s="16">
        <f>E36*E39</f>
        <v>8188.756837700850</v>
      </c>
    </row>
    <row r="41" ht="20.05" customHeight="1">
      <c r="A41" t="s" s="10">
        <v>36</v>
      </c>
      <c r="B41" s="15"/>
      <c r="C41" s="16"/>
      <c r="D41" s="16"/>
      <c r="E41" s="16">
        <f>27410/E43</f>
        <v>1.0964</v>
      </c>
    </row>
    <row r="42" ht="20.05" customHeight="1">
      <c r="A42" t="s" s="10">
        <v>37</v>
      </c>
      <c r="B42" s="15"/>
      <c r="C42" s="16"/>
      <c r="D42" s="16"/>
      <c r="E42" s="16">
        <f>(E40/E41)*E31</f>
        <v>104562.746924309</v>
      </c>
    </row>
    <row r="43" ht="20.05" customHeight="1">
      <c r="A43" t="s" s="10">
        <v>38</v>
      </c>
      <c r="B43" s="15"/>
      <c r="C43" s="16"/>
      <c r="D43" s="16"/>
      <c r="E43" s="16">
        <f>'Share price '!C20</f>
        <v>25000</v>
      </c>
    </row>
    <row r="44" ht="20.05" customHeight="1">
      <c r="A44" t="s" s="10">
        <v>39</v>
      </c>
      <c r="B44" s="15"/>
      <c r="C44" s="16"/>
      <c r="D44" s="16"/>
      <c r="E44" s="21">
        <f>E42/E43-1</f>
        <v>3.18250987697236</v>
      </c>
    </row>
    <row r="45" ht="20.05" customHeight="1">
      <c r="A45" t="s" s="10">
        <v>40</v>
      </c>
      <c r="B45" s="15"/>
      <c r="C45" s="16"/>
      <c r="D45" s="16"/>
      <c r="E45" s="21">
        <f>'Sales'!C26/'Sales'!C22-1</f>
        <v>3.46873005743459</v>
      </c>
    </row>
    <row r="46" ht="20.05" customHeight="1">
      <c r="A46" t="s" s="10">
        <v>41</v>
      </c>
      <c r="B46" s="15"/>
      <c r="C46" s="16"/>
      <c r="D46" s="16"/>
      <c r="E46" s="21">
        <f>('Sales'!D22+'Sales'!D26+'Sales'!D25+'Sales'!D23+'Sales'!D24)/('Sales'!C22+'Sales'!C23+'Sales'!C25+'Sales'!C26+'Sales'!C24)-1</f>
        <v>-0.328627024891347</v>
      </c>
    </row>
  </sheetData>
  <mergeCells count="1">
    <mergeCell ref="A1:E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2:L30"/>
  <sheetViews>
    <sheetView workbookViewId="0" showGridLines="0" defaultGridColor="1">
      <pane topLeftCell="C3" xSplit="2" ySplit="2" activePane="bottomRight" state="frozen"/>
    </sheetView>
  </sheetViews>
  <sheetFormatPr defaultColWidth="16.3333" defaultRowHeight="19.9" customHeight="1" outlineLevelRow="0" outlineLevelCol="0"/>
  <cols>
    <col min="1" max="1" width="1.72656" style="22" customWidth="1"/>
    <col min="2" max="12" width="9.67969" style="22" customWidth="1"/>
    <col min="13" max="16384" width="16.3516" style="22" customWidth="1"/>
  </cols>
  <sheetData>
    <row r="1" ht="27.65" customHeight="1">
      <c r="B1" t="s" s="2">
        <v>5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32.25" customHeight="1">
      <c r="B2" t="s" s="5">
        <v>1</v>
      </c>
      <c r="C2" t="s" s="5">
        <v>5</v>
      </c>
      <c r="D2" t="s" s="5">
        <v>34</v>
      </c>
      <c r="E2" t="s" s="5">
        <v>42</v>
      </c>
      <c r="F2" t="s" s="5">
        <v>43</v>
      </c>
      <c r="G2" t="s" s="5">
        <v>44</v>
      </c>
      <c r="H2" t="s" s="5">
        <v>6</v>
      </c>
      <c r="I2" t="s" s="5">
        <v>6</v>
      </c>
      <c r="J2" t="s" s="5">
        <v>34</v>
      </c>
      <c r="K2" t="s" s="5">
        <v>45</v>
      </c>
      <c r="L2" t="s" s="5">
        <v>45</v>
      </c>
    </row>
    <row r="3" ht="20.25" customHeight="1">
      <c r="B3" s="23">
        <v>2016</v>
      </c>
      <c r="C3" s="24">
        <v>331</v>
      </c>
      <c r="D3" s="25"/>
      <c r="E3" s="25">
        <v>25.25</v>
      </c>
      <c r="F3" s="25">
        <v>23</v>
      </c>
      <c r="G3" s="9"/>
      <c r="H3" s="9">
        <f>(E3+F3-C3)/C3</f>
        <v>-0.854229607250755</v>
      </c>
      <c r="I3" s="9"/>
      <c r="J3" s="9"/>
      <c r="K3" s="9"/>
      <c r="L3" s="9">
        <f>('Cashflow '!D4-'Cashflow '!C4)/'Cashflow '!C4</f>
        <v>-0.902857142857143</v>
      </c>
    </row>
    <row r="4" ht="20.05" customHeight="1">
      <c r="B4" s="26"/>
      <c r="C4" s="15">
        <v>278.47</v>
      </c>
      <c r="D4" s="16"/>
      <c r="E4" s="16">
        <v>25.25</v>
      </c>
      <c r="F4" s="16">
        <v>13.48</v>
      </c>
      <c r="G4" s="12">
        <f>C4/C3-1</f>
        <v>-0.158700906344411</v>
      </c>
      <c r="H4" s="12">
        <f>(E4+F4-C4)/C4</f>
        <v>-0.860918590871548</v>
      </c>
      <c r="I4" s="12"/>
      <c r="J4" s="12"/>
      <c r="K4" s="12"/>
      <c r="L4" s="12">
        <f>('Cashflow '!D5-'Cashflow '!C5)/'Cashflow '!C5</f>
        <v>-0.996539792387543</v>
      </c>
    </row>
    <row r="5" ht="20.05" customHeight="1">
      <c r="B5" s="26"/>
      <c r="C5" s="15">
        <v>348.53</v>
      </c>
      <c r="D5" s="16"/>
      <c r="E5" s="16">
        <v>25.25</v>
      </c>
      <c r="F5" s="16">
        <v>33.52</v>
      </c>
      <c r="G5" s="12">
        <f>C5/C4-1</f>
        <v>0.251589040112041</v>
      </c>
      <c r="H5" s="12">
        <f>(E5+F5-C5)/C5</f>
        <v>-0.83137749978481</v>
      </c>
      <c r="I5" s="12"/>
      <c r="J5" s="12"/>
      <c r="K5" s="12"/>
      <c r="L5" s="12">
        <f>('Cashflow '!D6-'Cashflow '!C6)/'Cashflow '!C6</f>
        <v>-0.965299684542587</v>
      </c>
    </row>
    <row r="6" ht="20.05" customHeight="1">
      <c r="B6" s="26"/>
      <c r="C6" s="15">
        <v>410</v>
      </c>
      <c r="D6" s="16"/>
      <c r="E6" s="16">
        <v>25.25</v>
      </c>
      <c r="F6" s="16">
        <v>61</v>
      </c>
      <c r="G6" s="12">
        <f>C6/C5-1</f>
        <v>0.176369322583422</v>
      </c>
      <c r="H6" s="12">
        <f>(E6+F6-C6)/C6</f>
        <v>-0.789634146341463</v>
      </c>
      <c r="I6" s="12"/>
      <c r="J6" s="12"/>
      <c r="K6" s="12"/>
      <c r="L6" s="12">
        <f>('Cashflow '!D7-'Cashflow '!C7)/'Cashflow '!C7</f>
        <v>-0.751256281407035</v>
      </c>
    </row>
    <row r="7" ht="20.05" customHeight="1">
      <c r="B7" s="27">
        <v>2017</v>
      </c>
      <c r="C7" s="15">
        <v>368</v>
      </c>
      <c r="D7" s="16"/>
      <c r="E7" s="16">
        <v>24.5</v>
      </c>
      <c r="F7" s="16">
        <v>57</v>
      </c>
      <c r="G7" s="12">
        <f>C7/C6-1</f>
        <v>-0.102439024390244</v>
      </c>
      <c r="H7" s="12">
        <f>(E7+F7-C7)/C7</f>
        <v>-0.778532608695652</v>
      </c>
      <c r="I7" s="12"/>
      <c r="J7" s="12"/>
      <c r="K7" s="12">
        <f>AVERAGE(L4:L7)</f>
        <v>-0.866649289724347</v>
      </c>
      <c r="L7" s="12">
        <f>('Cashflow '!D8-'Cashflow '!C8)/'Cashflow '!C8</f>
        <v>-0.753501400560224</v>
      </c>
    </row>
    <row r="8" ht="20.05" customHeight="1">
      <c r="B8" s="26"/>
      <c r="C8" s="15">
        <v>380.7</v>
      </c>
      <c r="D8" s="16"/>
      <c r="E8" s="16">
        <v>24.5</v>
      </c>
      <c r="F8" s="16">
        <v>48.29</v>
      </c>
      <c r="G8" s="12">
        <f>C8/C7-1</f>
        <v>0.0345108695652174</v>
      </c>
      <c r="H8" s="12">
        <f>(E8+F8-C8)/C8</f>
        <v>-0.808799579721566</v>
      </c>
      <c r="I8" s="12"/>
      <c r="J8" s="12"/>
      <c r="K8" s="12">
        <f>AVERAGE(L5:L8)</f>
        <v>-0.829539658083158</v>
      </c>
      <c r="L8" s="12">
        <f>('Cashflow '!D9-'Cashflow '!C9)/'Cashflow '!C9</f>
        <v>-0.848101265822785</v>
      </c>
    </row>
    <row r="9" ht="20.05" customHeight="1">
      <c r="B9" s="26"/>
      <c r="C9" s="15">
        <v>415.3</v>
      </c>
      <c r="D9" s="16"/>
      <c r="E9" s="16">
        <v>24.5</v>
      </c>
      <c r="F9" s="16">
        <v>66.70999999999999</v>
      </c>
      <c r="G9" s="12">
        <f>C9/C8-1</f>
        <v>0.09088521145258729</v>
      </c>
      <c r="H9" s="12">
        <f>(E9+F9-C9)/C9</f>
        <v>-0.7803756320732</v>
      </c>
      <c r="I9" s="12"/>
      <c r="J9" s="12"/>
      <c r="K9" s="12">
        <f>AVERAGE(L6:L9)</f>
        <v>-0.790934944201397</v>
      </c>
      <c r="L9" s="12">
        <f>('Cashflow '!D10-'Cashflow '!C10)/'Cashflow '!C10</f>
        <v>-0.810880829015544</v>
      </c>
    </row>
    <row r="10" ht="20.05" customHeight="1">
      <c r="B10" s="26"/>
      <c r="C10" s="15">
        <v>526</v>
      </c>
      <c r="D10" s="16"/>
      <c r="E10" s="16">
        <v>24.5</v>
      </c>
      <c r="F10" s="16">
        <v>81</v>
      </c>
      <c r="G10" s="12">
        <f>C10/C9-1</f>
        <v>0.266554298097761</v>
      </c>
      <c r="H10" s="12">
        <f>(E10+F10-C10)/C10</f>
        <v>-0.799429657794677</v>
      </c>
      <c r="I10" s="12"/>
      <c r="J10" s="12"/>
      <c r="K10" s="12">
        <f>AVERAGE(L7:L10)</f>
        <v>-0.804120873849638</v>
      </c>
      <c r="L10" s="12">
        <f>('Cashflow '!D11-'Cashflow '!C11)/'Cashflow '!C11</f>
        <v>-0.804</v>
      </c>
    </row>
    <row r="11" ht="20.05" customHeight="1">
      <c r="B11" s="27">
        <v>2018</v>
      </c>
      <c r="C11" s="15">
        <v>378</v>
      </c>
      <c r="D11" s="16"/>
      <c r="E11" s="16">
        <v>25</v>
      </c>
      <c r="F11" s="16">
        <v>58</v>
      </c>
      <c r="G11" s="12">
        <f>C11/C10-1</f>
        <v>-0.281368821292776</v>
      </c>
      <c r="H11" s="12">
        <f>(E11+F11-C11)/C11</f>
        <v>-0.78042328042328</v>
      </c>
      <c r="I11" s="12">
        <f>AVERAGE(H8:H11)</f>
        <v>-0.792257037503181</v>
      </c>
      <c r="J11" s="12"/>
      <c r="K11" s="12">
        <f>AVERAGE(L8:L11)</f>
        <v>-0.826605031866388</v>
      </c>
      <c r="L11" s="12">
        <f>('Cashflow '!D12-'Cashflow '!C12)/'Cashflow '!C12</f>
        <v>-0.8434380326272219</v>
      </c>
    </row>
    <row r="12" ht="20.05" customHeight="1">
      <c r="B12" s="26"/>
      <c r="C12" s="15">
        <v>430.89</v>
      </c>
      <c r="D12" s="16"/>
      <c r="E12" s="16">
        <v>25</v>
      </c>
      <c r="F12" s="16">
        <v>44.5</v>
      </c>
      <c r="G12" s="12">
        <f>C12/C11-1</f>
        <v>0.139920634920635</v>
      </c>
      <c r="H12" s="12">
        <f>(E12+F12-C12)/C12</f>
        <v>-0.838705934229154</v>
      </c>
      <c r="I12" s="12">
        <f>AVERAGE(H9:H12)</f>
        <v>-0.799733626130078</v>
      </c>
      <c r="J12" s="12"/>
      <c r="K12" s="12">
        <f>AVERAGE(L9:L12)</f>
        <v>-0.844893066909329</v>
      </c>
      <c r="L12" s="12">
        <f>('Cashflow '!D13-'Cashflow '!C13)/'Cashflow '!C13</f>
        <v>-0.92125340599455</v>
      </c>
    </row>
    <row r="13" ht="20.05" customHeight="1">
      <c r="B13" s="26"/>
      <c r="C13" s="15">
        <v>606.3</v>
      </c>
      <c r="D13" s="16"/>
      <c r="E13" s="16">
        <v>25</v>
      </c>
      <c r="F13" s="16">
        <v>94.5</v>
      </c>
      <c r="G13" s="12">
        <f>C13/C12-1</f>
        <v>0.407087655782218</v>
      </c>
      <c r="H13" s="12">
        <f>(E13+F13-C13)/C13</f>
        <v>-0.802902853372918</v>
      </c>
      <c r="I13" s="12">
        <f>AVERAGE(H10:H13)</f>
        <v>-0.8053654314550071</v>
      </c>
      <c r="J13" s="12"/>
      <c r="K13" s="12">
        <f>AVERAGE(L10:L13)</f>
        <v>-0.840597417763205</v>
      </c>
      <c r="L13" s="12">
        <f>('Cashflow '!D14-'Cashflow '!C14)/'Cashflow '!C14</f>
        <v>-0.793698232431048</v>
      </c>
    </row>
    <row r="14" ht="20.05" customHeight="1">
      <c r="B14" s="26"/>
      <c r="C14" s="15">
        <v>592.8099999999999</v>
      </c>
      <c r="D14" s="16"/>
      <c r="E14" s="16">
        <v>25</v>
      </c>
      <c r="F14" s="16">
        <v>62</v>
      </c>
      <c r="G14" s="12">
        <f>C14/C13-1</f>
        <v>-0.0222497113640112</v>
      </c>
      <c r="H14" s="12">
        <f>(E14+F14-C14)/C14</f>
        <v>-0.853241342082623</v>
      </c>
      <c r="I14" s="12">
        <f>AVERAGE(H11:H14)</f>
        <v>-0.818818352526994</v>
      </c>
      <c r="J14" s="12"/>
      <c r="K14" s="12">
        <f>AVERAGE(L11:L14)</f>
        <v>-0.8315965950565</v>
      </c>
      <c r="L14" s="12">
        <f>('Cashflow '!D15-'Cashflow '!C15)/'Cashflow '!C15</f>
        <v>-0.76799670917318</v>
      </c>
    </row>
    <row r="15" ht="20.05" customHeight="1">
      <c r="B15" s="27">
        <v>2019</v>
      </c>
      <c r="C15" s="15">
        <v>453</v>
      </c>
      <c r="D15" s="16"/>
      <c r="E15" s="16">
        <v>52.75</v>
      </c>
      <c r="F15" s="16">
        <v>39</v>
      </c>
      <c r="G15" s="12">
        <f>C15/C14-1</f>
        <v>-0.23584285015435</v>
      </c>
      <c r="H15" s="12">
        <f>(E15+F15-C15)/C15</f>
        <v>-0.797461368653422</v>
      </c>
      <c r="I15" s="12">
        <f>AVERAGE(H12:H15)</f>
        <v>-0.823077874584529</v>
      </c>
      <c r="J15" s="12"/>
      <c r="K15" s="12">
        <f>AVERAGE(L12:L15)</f>
        <v>-0.858553851032248</v>
      </c>
      <c r="L15" s="12">
        <f>('Cashflow '!D16-'Cashflow '!C16)/'Cashflow '!C16</f>
        <v>-0.951267056530214</v>
      </c>
    </row>
    <row r="16" ht="20.05" customHeight="1">
      <c r="B16" s="26"/>
      <c r="C16" s="15">
        <v>439.7</v>
      </c>
      <c r="D16" s="16"/>
      <c r="E16" s="16">
        <v>52.75</v>
      </c>
      <c r="F16" s="16">
        <v>30</v>
      </c>
      <c r="G16" s="12">
        <f>C16/C15-1</f>
        <v>-0.0293598233995585</v>
      </c>
      <c r="H16" s="12">
        <f>(E16+F16-C16)/C16</f>
        <v>-0.811803502387992</v>
      </c>
      <c r="I16" s="12">
        <f>AVERAGE(H13:H16)</f>
        <v>-0.816352266624239</v>
      </c>
      <c r="J16" s="12"/>
      <c r="K16" s="12">
        <f>AVERAGE(L13:L16)</f>
        <v>-0.826157166200277</v>
      </c>
      <c r="L16" s="12">
        <f>('Cashflow '!D17-'Cashflow '!C17)/'Cashflow '!C17</f>
        <v>-0.791666666666667</v>
      </c>
    </row>
    <row r="17" ht="20.05" customHeight="1">
      <c r="B17" s="26"/>
      <c r="C17" s="15">
        <v>412.1</v>
      </c>
      <c r="D17" s="16"/>
      <c r="E17" s="16">
        <v>52.75</v>
      </c>
      <c r="F17" s="16">
        <v>29.6</v>
      </c>
      <c r="G17" s="12">
        <f>C17/C16-1</f>
        <v>-0.0627700705026154</v>
      </c>
      <c r="H17" s="12">
        <f>(E17+F17-C17)/C17</f>
        <v>-0.800169861684057</v>
      </c>
      <c r="I17" s="12">
        <f>AVERAGE(H14:H17)</f>
        <v>-0.815669018702024</v>
      </c>
      <c r="J17" s="12"/>
      <c r="K17" s="12">
        <f>AVERAGE(L14:L17)</f>
        <v>-0.88577858510401</v>
      </c>
      <c r="L17" s="12">
        <f>('Cashflow '!D18-'Cashflow '!C18)/'Cashflow '!C18</f>
        <v>-1.03218390804598</v>
      </c>
    </row>
    <row r="18" ht="20.05" customHeight="1">
      <c r="B18" s="26"/>
      <c r="C18" s="15">
        <v>411.2</v>
      </c>
      <c r="D18" s="16"/>
      <c r="E18" s="16">
        <v>52.75</v>
      </c>
      <c r="F18" s="16">
        <v>28.4</v>
      </c>
      <c r="G18" s="12">
        <f>C18/C17-1</f>
        <v>-0.00218393593787916</v>
      </c>
      <c r="H18" s="12">
        <f>(E18+F18-C18)/C18</f>
        <v>-0.802650778210117</v>
      </c>
      <c r="I18" s="12">
        <f>AVERAGE(H15:H18)</f>
        <v>-0.803021377733897</v>
      </c>
      <c r="J18" s="12"/>
      <c r="K18" s="12">
        <f>AVERAGE(L15:L18)</f>
        <v>-0.950342653634105</v>
      </c>
      <c r="L18" s="12">
        <f>('Cashflow '!D19-'Cashflow '!C19)/'Cashflow '!C19</f>
        <v>-1.02625298329356</v>
      </c>
    </row>
    <row r="19" ht="20.05" customHeight="1">
      <c r="B19" s="27">
        <v>2020</v>
      </c>
      <c r="C19" s="15">
        <v>365.9</v>
      </c>
      <c r="D19" s="16"/>
      <c r="E19" s="16">
        <v>50</v>
      </c>
      <c r="F19" s="16">
        <v>14.4</v>
      </c>
      <c r="G19" s="12">
        <f>C19/C18-1</f>
        <v>-0.110165369649805</v>
      </c>
      <c r="H19" s="12">
        <f>(E19+F19-C19)/C19</f>
        <v>-0.823995627220552</v>
      </c>
      <c r="I19" s="12">
        <f>AVERAGE(H16:H19)</f>
        <v>-0.80965494237568</v>
      </c>
      <c r="J19" s="12"/>
      <c r="K19" s="12">
        <f>AVERAGE(L16:L19)</f>
        <v>-0.900657202632865</v>
      </c>
      <c r="L19" s="12">
        <f>('Cashflow '!D20-'Cashflow '!C20)/'Cashflow '!C20</f>
        <v>-0.752525252525253</v>
      </c>
    </row>
    <row r="20" ht="20.05" customHeight="1">
      <c r="B20" s="26"/>
      <c r="C20" s="15">
        <v>286.7</v>
      </c>
      <c r="D20" s="16"/>
      <c r="E20" s="16">
        <v>50</v>
      </c>
      <c r="F20" s="16">
        <v>14.1</v>
      </c>
      <c r="G20" s="12">
        <f>C20/C19-1</f>
        <v>-0.216452582672861</v>
      </c>
      <c r="H20" s="12">
        <f>(E20+F20-C20)/C20</f>
        <v>-0.776421346355075</v>
      </c>
      <c r="I20" s="12">
        <f>AVERAGE(H17:H20)</f>
        <v>-0.80080940336745</v>
      </c>
      <c r="J20" s="12"/>
      <c r="K20" s="12">
        <f>AVERAGE(L17:L20)</f>
        <v>-0.921050395121128</v>
      </c>
      <c r="L20" s="12">
        <f>('Cashflow '!D21-'Cashflow '!C21)/'Cashflow '!C21</f>
        <v>-0.873239436619718</v>
      </c>
    </row>
    <row r="21" ht="20.05" customHeight="1">
      <c r="B21" s="26"/>
      <c r="C21" s="15">
        <v>219.3</v>
      </c>
      <c r="D21" s="16"/>
      <c r="E21" s="16">
        <v>50</v>
      </c>
      <c r="F21" s="16">
        <v>10.1</v>
      </c>
      <c r="G21" s="12">
        <f>C21/C20-1</f>
        <v>-0.235088943146146</v>
      </c>
      <c r="H21" s="12">
        <f>(E21+F21-C21)/C21</f>
        <v>-0.725946192430461</v>
      </c>
      <c r="I21" s="12">
        <f>AVERAGE(H18:H21)</f>
        <v>-0.782253486054051</v>
      </c>
      <c r="J21" s="12"/>
      <c r="K21" s="12">
        <f>AVERAGE(L18:L21)</f>
        <v>-0.886218703823919</v>
      </c>
      <c r="L21" s="12">
        <f>('Cashflow '!D22-'Cashflow '!C22)/'Cashflow '!C22</f>
        <v>-0.892857142857143</v>
      </c>
    </row>
    <row r="22" ht="20.05" customHeight="1">
      <c r="B22" s="26"/>
      <c r="C22" s="15">
        <f>1185.3-SUM(C19:C21)</f>
        <v>313.4</v>
      </c>
      <c r="D22" s="16">
        <v>296.055</v>
      </c>
      <c r="E22" s="16">
        <v>50</v>
      </c>
      <c r="F22" s="16">
        <f>37.8-SUM(F19:F21)</f>
        <v>-0.8</v>
      </c>
      <c r="G22" s="12">
        <f>C22/C21-1</f>
        <v>0.429092567259462</v>
      </c>
      <c r="H22" s="12">
        <f>(E22+F22-C22)/C22</f>
        <v>-0.84301212507977</v>
      </c>
      <c r="I22" s="12">
        <f>AVERAGE(H19:H22)</f>
        <v>-0.792343822771465</v>
      </c>
      <c r="J22" s="12"/>
      <c r="K22" s="12">
        <f>AVERAGE(L19:L22)</f>
        <v>-0.870143262878577</v>
      </c>
      <c r="L22" s="12">
        <f>('Cashflow '!D23-'Cashflow '!C23)/'Cashflow '!C23</f>
        <v>-0.961951219512195</v>
      </c>
    </row>
    <row r="23" ht="20.05" customHeight="1">
      <c r="B23" s="27">
        <v>2021</v>
      </c>
      <c r="C23" s="15">
        <v>284.2</v>
      </c>
      <c r="D23" s="16">
        <v>329.07</v>
      </c>
      <c r="E23" s="16">
        <f>18+21.9</f>
        <v>39.9</v>
      </c>
      <c r="F23" s="16">
        <v>42</v>
      </c>
      <c r="G23" s="12">
        <f>C23/C22-1</f>
        <v>-0.0931716656030632</v>
      </c>
      <c r="H23" s="12">
        <f>(E23+F23-C23)/C23</f>
        <v>-0.711822660098522</v>
      </c>
      <c r="I23" s="12">
        <f>AVERAGE(H20:H23)</f>
        <v>-0.764300580990957</v>
      </c>
      <c r="J23" s="12"/>
      <c r="K23" s="12">
        <f>AVERAGE(L20:L23)</f>
        <v>-0.882449267531521</v>
      </c>
      <c r="L23" s="12">
        <f>('Cashflow '!D24-'Cashflow '!C24)/'Cashflow '!C24</f>
        <v>-0.801749271137026</v>
      </c>
    </row>
    <row r="24" ht="20.05" customHeight="1">
      <c r="B24" s="26"/>
      <c r="C24" s="15">
        <f>676.3-C23</f>
        <v>392.1</v>
      </c>
      <c r="D24" s="16">
        <v>315.462</v>
      </c>
      <c r="E24" s="16">
        <f>34.2+46.6-E23</f>
        <v>40.9</v>
      </c>
      <c r="F24" s="16">
        <f>117.6-F23</f>
        <v>75.59999999999999</v>
      </c>
      <c r="G24" s="12">
        <f>C24/C23-1</f>
        <v>0.379662209711471</v>
      </c>
      <c r="H24" s="12">
        <f>(E24+F24-C24)/C24</f>
        <v>-0.702881917878092</v>
      </c>
      <c r="I24" s="12">
        <f>AVERAGE(H21:H24)</f>
        <v>-0.745915723871711</v>
      </c>
      <c r="J24" s="12"/>
      <c r="K24" s="12">
        <f>AVERAGE(L21:L24)</f>
        <v>-0.822916004121272</v>
      </c>
      <c r="L24" s="12">
        <f>('Cashflow '!D25-'Cashflow '!C25)/'Cashflow '!C25</f>
        <v>-0.635106382978723</v>
      </c>
    </row>
    <row r="25" ht="20.05" customHeight="1">
      <c r="B25" s="26"/>
      <c r="C25" s="15">
        <f>1323.3-SUM(C23:C24)</f>
        <v>647</v>
      </c>
      <c r="D25" s="16">
        <v>380.337</v>
      </c>
      <c r="E25" s="16">
        <f>49.9+81.4-SUM(E23:E24)</f>
        <v>50.5</v>
      </c>
      <c r="F25" s="16">
        <f>271.5-SUM(F23:F24)</f>
        <v>153.9</v>
      </c>
      <c r="G25" s="12">
        <f>C25/C24-1</f>
        <v>0.650089262943127</v>
      </c>
      <c r="H25" s="12">
        <f>(E25+F25-C25)/C25</f>
        <v>-0.684080370942813</v>
      </c>
      <c r="I25" s="12">
        <f>AVERAGE(H22:H25)</f>
        <v>-0.735449268499799</v>
      </c>
      <c r="J25" s="12"/>
      <c r="K25" s="12">
        <f>AVERAGE(L22:L25)</f>
        <v>-0.7866398948883661</v>
      </c>
      <c r="L25" s="12">
        <f>('Cashflow '!D26-'Cashflow '!C26)/'Cashflow '!C26</f>
        <v>-0.747752705925518</v>
      </c>
    </row>
    <row r="26" ht="20.05" customHeight="1">
      <c r="B26" s="26"/>
      <c r="C26" s="15">
        <f>2076.8-SUM(C23:C24)</f>
        <v>1400.5</v>
      </c>
      <c r="D26" s="16">
        <v>718.17</v>
      </c>
      <c r="E26" s="16">
        <f>64.6+113.5-SUM(E23:E25)</f>
        <v>46.8</v>
      </c>
      <c r="F26" s="16">
        <f>475.4-SUM(F23:F25)</f>
        <v>203.9</v>
      </c>
      <c r="G26" s="12">
        <f>C26/C25-1</f>
        <v>1.16460587326121</v>
      </c>
      <c r="H26" s="12">
        <f>(E26+F26-C26)/C26</f>
        <v>-0.820992502677615</v>
      </c>
      <c r="I26" s="12">
        <f>AVERAGE(H23:H26)</f>
        <v>-0.729944362899261</v>
      </c>
      <c r="J26" s="12">
        <f>I26</f>
        <v>-0.729944362899261</v>
      </c>
      <c r="K26" s="12">
        <f>AVERAGE(L23:L26)</f>
        <v>-0.70234114214918</v>
      </c>
      <c r="L26" s="12">
        <f>('Cashflow '!D27-'Cashflow '!C27)/'Cashflow '!C27</f>
        <v>-0.624756208555454</v>
      </c>
    </row>
    <row r="27" ht="20.05" customHeight="1">
      <c r="B27" s="27">
        <v>2022</v>
      </c>
      <c r="C27" s="15"/>
      <c r="D27" s="16">
        <f>'Model'!B5</f>
        <v>1386.495</v>
      </c>
      <c r="E27" s="16"/>
      <c r="F27" s="16"/>
      <c r="G27" s="12"/>
      <c r="H27" s="19"/>
      <c r="I27" s="19"/>
      <c r="J27" s="12">
        <f>'Model'!B6</f>
        <v>-0.729944362899261</v>
      </c>
      <c r="K27" s="19"/>
      <c r="L27" s="12"/>
    </row>
    <row r="28" ht="20.05" customHeight="1">
      <c r="B28" s="26"/>
      <c r="C28" s="15"/>
      <c r="D28" s="16">
        <f>'Model'!C5</f>
        <v>1483.54965</v>
      </c>
      <c r="E28" s="16"/>
      <c r="F28" s="16"/>
      <c r="G28" s="12"/>
      <c r="H28" s="12"/>
      <c r="I28" s="12"/>
      <c r="J28" s="12"/>
      <c r="K28" s="12"/>
      <c r="L28" s="12"/>
    </row>
    <row r="29" ht="20.05" customHeight="1">
      <c r="B29" s="26"/>
      <c r="C29" s="15"/>
      <c r="D29" s="16">
        <f>'Model'!D5</f>
        <v>1587.3981255</v>
      </c>
      <c r="E29" s="16"/>
      <c r="F29" s="16"/>
      <c r="G29" s="12"/>
      <c r="H29" s="12"/>
      <c r="I29" s="12"/>
      <c r="J29" s="12"/>
      <c r="K29" s="12"/>
      <c r="L29" s="12"/>
    </row>
    <row r="30" ht="20.05" customHeight="1">
      <c r="B30" s="26"/>
      <c r="C30" s="15"/>
      <c r="D30" s="16">
        <f>'Model'!E5</f>
        <v>1698.515994285</v>
      </c>
      <c r="E30" s="16"/>
      <c r="F30" s="16"/>
      <c r="G30" s="12"/>
      <c r="H30" s="12"/>
      <c r="I30" s="12"/>
      <c r="J30" s="12"/>
      <c r="K30" s="12"/>
      <c r="L30" s="12"/>
    </row>
  </sheetData>
  <mergeCells count="1">
    <mergeCell ref="B1:L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dimension ref="B3:O2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625" style="28" customWidth="1"/>
    <col min="2" max="15" width="9.5625" style="28" customWidth="1"/>
    <col min="16" max="16384" width="16.3516" style="28" customWidth="1"/>
  </cols>
  <sheetData>
    <row r="1" ht="13.85" customHeight="1"/>
    <row r="2" ht="27.65" customHeight="1">
      <c r="B2" t="s" s="2">
        <v>32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46.75" customHeight="1">
      <c r="B3" t="s" s="5">
        <v>1</v>
      </c>
      <c r="C3" t="s" s="5">
        <v>46</v>
      </c>
      <c r="D3" t="s" s="5">
        <v>8</v>
      </c>
      <c r="E3" t="s" s="5">
        <v>47</v>
      </c>
      <c r="F3" t="s" s="5">
        <v>9</v>
      </c>
      <c r="G3" t="s" s="5">
        <v>48</v>
      </c>
      <c r="H3" t="s" s="5">
        <v>11</v>
      </c>
      <c r="I3" t="s" s="5">
        <v>12</v>
      </c>
      <c r="J3" t="s" s="5">
        <v>10</v>
      </c>
      <c r="K3" t="s" s="5">
        <v>49</v>
      </c>
      <c r="L3" t="s" s="5">
        <v>32</v>
      </c>
      <c r="M3" t="s" s="5">
        <v>34</v>
      </c>
      <c r="N3" t="s" s="5">
        <v>28</v>
      </c>
      <c r="O3" t="s" s="5">
        <v>34</v>
      </c>
    </row>
    <row r="4" ht="21.4" customHeight="1">
      <c r="B4" s="23">
        <v>2016</v>
      </c>
      <c r="C4" s="24">
        <v>350</v>
      </c>
      <c r="D4" s="25">
        <v>34</v>
      </c>
      <c r="E4" s="25"/>
      <c r="F4" s="25">
        <v>-7</v>
      </c>
      <c r="G4" s="29"/>
      <c r="H4" s="25"/>
      <c r="I4" s="25"/>
      <c r="J4" s="25">
        <v>-1</v>
      </c>
      <c r="K4" s="29">
        <f>D4+F4+G4</f>
        <v>27</v>
      </c>
      <c r="L4" s="29"/>
      <c r="M4" s="25"/>
      <c r="N4" s="25">
        <f>-(J4-G4)</f>
        <v>1</v>
      </c>
      <c r="O4" s="25"/>
    </row>
    <row r="5" ht="21.2" customHeight="1">
      <c r="B5" s="26"/>
      <c r="C5" s="15">
        <v>289</v>
      </c>
      <c r="D5" s="16">
        <v>1</v>
      </c>
      <c r="E5" s="16"/>
      <c r="F5" s="16">
        <v>-6</v>
      </c>
      <c r="G5" s="30"/>
      <c r="H5" s="16"/>
      <c r="I5" s="16"/>
      <c r="J5" s="16">
        <v>-23</v>
      </c>
      <c r="K5" s="30">
        <f>D5+F5+G5</f>
        <v>-5</v>
      </c>
      <c r="L5" s="30"/>
      <c r="M5" s="16"/>
      <c r="N5" s="16">
        <f>-(J5-G5)+N4</f>
        <v>24</v>
      </c>
      <c r="O5" s="16"/>
    </row>
    <row r="6" ht="21.2" customHeight="1">
      <c r="B6" s="26"/>
      <c r="C6" s="15">
        <v>317</v>
      </c>
      <c r="D6" s="16">
        <v>11</v>
      </c>
      <c r="E6" s="16"/>
      <c r="F6" s="16">
        <v>-9</v>
      </c>
      <c r="G6" s="30"/>
      <c r="H6" s="16"/>
      <c r="I6" s="16"/>
      <c r="J6" s="16">
        <v>0</v>
      </c>
      <c r="K6" s="30">
        <f>D6+F6+G6</f>
        <v>2</v>
      </c>
      <c r="L6" s="30"/>
      <c r="M6" s="16"/>
      <c r="N6" s="16">
        <f>-(J6-G6)+N5</f>
        <v>24</v>
      </c>
      <c r="O6" s="16"/>
    </row>
    <row r="7" ht="21.2" customHeight="1">
      <c r="B7" s="26"/>
      <c r="C7" s="15">
        <v>398</v>
      </c>
      <c r="D7" s="16">
        <v>99</v>
      </c>
      <c r="E7" s="16"/>
      <c r="F7" s="16">
        <v>-3</v>
      </c>
      <c r="G7" s="30"/>
      <c r="H7" s="16"/>
      <c r="I7" s="16"/>
      <c r="J7" s="16">
        <v>-37</v>
      </c>
      <c r="K7" s="30">
        <f>D7+F7+G7</f>
        <v>96</v>
      </c>
      <c r="L7" s="30"/>
      <c r="M7" s="16"/>
      <c r="N7" s="16">
        <f>-(J7-G7)+N6</f>
        <v>61</v>
      </c>
      <c r="O7" s="16"/>
    </row>
    <row r="8" ht="21.2" customHeight="1">
      <c r="B8" s="27">
        <v>2017</v>
      </c>
      <c r="C8" s="15">
        <v>357</v>
      </c>
      <c r="D8" s="16">
        <v>88</v>
      </c>
      <c r="E8" s="16"/>
      <c r="F8" s="16">
        <v>-12</v>
      </c>
      <c r="G8" s="30"/>
      <c r="H8" s="16"/>
      <c r="I8" s="16"/>
      <c r="J8" s="16">
        <v>0</v>
      </c>
      <c r="K8" s="30">
        <f>D8+F8+G8</f>
        <v>76</v>
      </c>
      <c r="L8" s="30">
        <f>AVERAGE(K5:K8)</f>
        <v>42.25</v>
      </c>
      <c r="M8" s="16"/>
      <c r="N8" s="16">
        <f>-(J8-G8)+N7</f>
        <v>61</v>
      </c>
      <c r="O8" s="16"/>
    </row>
    <row r="9" ht="21.2" customHeight="1">
      <c r="B9" s="26"/>
      <c r="C9" s="15">
        <v>395</v>
      </c>
      <c r="D9" s="16">
        <v>60</v>
      </c>
      <c r="E9" s="16"/>
      <c r="F9" s="16">
        <v>-1</v>
      </c>
      <c r="G9" s="30"/>
      <c r="H9" s="16"/>
      <c r="I9" s="16"/>
      <c r="J9" s="16">
        <v>-94</v>
      </c>
      <c r="K9" s="30">
        <f>D9+F9+G9</f>
        <v>59</v>
      </c>
      <c r="L9" s="30">
        <f>AVERAGE(K6:K9)</f>
        <v>58.25</v>
      </c>
      <c r="M9" s="16"/>
      <c r="N9" s="16">
        <f>-(J9-G9)+N8</f>
        <v>155</v>
      </c>
      <c r="O9" s="16"/>
    </row>
    <row r="10" ht="21.2" customHeight="1">
      <c r="B10" s="26"/>
      <c r="C10" s="15">
        <v>386</v>
      </c>
      <c r="D10" s="16">
        <v>73</v>
      </c>
      <c r="E10" s="16"/>
      <c r="F10" s="16">
        <v>-40</v>
      </c>
      <c r="G10" s="30"/>
      <c r="H10" s="16"/>
      <c r="I10" s="16"/>
      <c r="J10" s="16">
        <v>0</v>
      </c>
      <c r="K10" s="30">
        <f>D10+F10+G10</f>
        <v>33</v>
      </c>
      <c r="L10" s="30">
        <f>AVERAGE(K7:K10)</f>
        <v>66</v>
      </c>
      <c r="M10" s="16"/>
      <c r="N10" s="16">
        <f>-(J10-G10)+N9</f>
        <v>155</v>
      </c>
      <c r="O10" s="16"/>
    </row>
    <row r="11" ht="21.2" customHeight="1">
      <c r="B11" s="26"/>
      <c r="C11" s="15">
        <v>500</v>
      </c>
      <c r="D11" s="16">
        <v>98</v>
      </c>
      <c r="E11" s="16"/>
      <c r="F11" s="16">
        <v>-21</v>
      </c>
      <c r="G11" s="30"/>
      <c r="H11" s="16"/>
      <c r="I11" s="16"/>
      <c r="J11" s="16">
        <v>-105</v>
      </c>
      <c r="K11" s="30">
        <f>D11+F11+G11</f>
        <v>77</v>
      </c>
      <c r="L11" s="30">
        <f>AVERAGE(K8:K11)</f>
        <v>61.25</v>
      </c>
      <c r="M11" s="16"/>
      <c r="N11" s="16">
        <f>-(J11-G11)+N10</f>
        <v>260</v>
      </c>
      <c r="O11" s="16"/>
    </row>
    <row r="12" ht="21.2" customHeight="1">
      <c r="B12" s="27">
        <v>2018</v>
      </c>
      <c r="C12" s="15">
        <v>410.7</v>
      </c>
      <c r="D12" s="16">
        <v>64.3</v>
      </c>
      <c r="E12" s="16"/>
      <c r="F12" s="16">
        <v>-15.57</v>
      </c>
      <c r="G12" s="30"/>
      <c r="H12" s="16"/>
      <c r="I12" s="16"/>
      <c r="J12" s="16">
        <v>0</v>
      </c>
      <c r="K12" s="30">
        <f>D12+F12+G12</f>
        <v>48.73</v>
      </c>
      <c r="L12" s="30">
        <f>AVERAGE(K9:K12)</f>
        <v>54.4325</v>
      </c>
      <c r="M12" s="16"/>
      <c r="N12" s="16">
        <f>-(J12-G12)+N11</f>
        <v>260</v>
      </c>
      <c r="O12" s="16"/>
    </row>
    <row r="13" ht="21.2" customHeight="1">
      <c r="B13" s="26"/>
      <c r="C13" s="15">
        <v>367</v>
      </c>
      <c r="D13" s="16">
        <v>28.9</v>
      </c>
      <c r="E13" s="16"/>
      <c r="F13" s="16">
        <v>-35.13</v>
      </c>
      <c r="G13" s="30"/>
      <c r="H13" s="16"/>
      <c r="I13" s="16"/>
      <c r="J13" s="16">
        <v>-146.8</v>
      </c>
      <c r="K13" s="30">
        <f>D13+F13+G13</f>
        <v>-6.23</v>
      </c>
      <c r="L13" s="30">
        <f>AVERAGE(K10:K13)</f>
        <v>38.125</v>
      </c>
      <c r="M13" s="16"/>
      <c r="N13" s="16">
        <f>-(J13-G13)+N12</f>
        <v>406.8</v>
      </c>
      <c r="O13" s="16"/>
    </row>
    <row r="14" ht="21.2" customHeight="1">
      <c r="B14" s="26"/>
      <c r="C14" s="15">
        <v>585.55</v>
      </c>
      <c r="D14" s="16">
        <v>120.8</v>
      </c>
      <c r="E14" s="16"/>
      <c r="F14" s="16">
        <v>-34.3</v>
      </c>
      <c r="G14" s="30"/>
      <c r="H14" s="16"/>
      <c r="I14" s="16"/>
      <c r="J14" s="16">
        <v>-0.07000000000000001</v>
      </c>
      <c r="K14" s="30">
        <f>D14+F14+G14</f>
        <v>86.5</v>
      </c>
      <c r="L14" s="30">
        <f>AVERAGE(K11:K14)</f>
        <v>51.5</v>
      </c>
      <c r="M14" s="16"/>
      <c r="N14" s="16">
        <f>-(J14-G14)+N13</f>
        <v>406.87</v>
      </c>
      <c r="O14" s="16"/>
    </row>
    <row r="15" ht="21.2" customHeight="1">
      <c r="B15" s="26"/>
      <c r="C15" s="15">
        <v>607.75</v>
      </c>
      <c r="D15" s="16">
        <v>141</v>
      </c>
      <c r="E15" s="16"/>
      <c r="F15" s="16">
        <v>-24</v>
      </c>
      <c r="G15" s="30"/>
      <c r="H15" s="16"/>
      <c r="I15" s="16"/>
      <c r="J15" s="16">
        <v>-102.13</v>
      </c>
      <c r="K15" s="30">
        <f>D15+F15+G15</f>
        <v>117</v>
      </c>
      <c r="L15" s="30">
        <f>AVERAGE(K12:K15)</f>
        <v>61.5</v>
      </c>
      <c r="M15" s="16"/>
      <c r="N15" s="16">
        <f>-(J15-G15)+N14</f>
        <v>509</v>
      </c>
      <c r="O15" s="16"/>
    </row>
    <row r="16" ht="21.2" customHeight="1">
      <c r="B16" s="27">
        <v>2019</v>
      </c>
      <c r="C16" s="15">
        <v>513</v>
      </c>
      <c r="D16" s="16">
        <v>25</v>
      </c>
      <c r="E16" s="16">
        <v>-11.8</v>
      </c>
      <c r="F16" s="16">
        <v>-16</v>
      </c>
      <c r="G16" s="30"/>
      <c r="H16" s="16"/>
      <c r="I16" s="16"/>
      <c r="J16" s="16">
        <v>14</v>
      </c>
      <c r="K16" s="30">
        <f>D16+F16+G16</f>
        <v>9</v>
      </c>
      <c r="L16" s="30">
        <f>AVERAGE(K13:K16)</f>
        <v>51.5675</v>
      </c>
      <c r="M16" s="16"/>
      <c r="N16" s="16">
        <f>-(J16-G16)+N15</f>
        <v>495</v>
      </c>
      <c r="O16" s="16"/>
    </row>
    <row r="17" ht="21.2" customHeight="1">
      <c r="B17" s="26"/>
      <c r="C17" s="15">
        <v>432</v>
      </c>
      <c r="D17" s="16">
        <v>90</v>
      </c>
      <c r="E17" s="16">
        <v>-14.1</v>
      </c>
      <c r="F17" s="16">
        <v>-26</v>
      </c>
      <c r="G17" s="30"/>
      <c r="H17" s="16"/>
      <c r="I17" s="16"/>
      <c r="J17" s="16">
        <v>-169</v>
      </c>
      <c r="K17" s="30">
        <f>D17+F17+G17</f>
        <v>64</v>
      </c>
      <c r="L17" s="30">
        <f>AVERAGE(K14:K17)</f>
        <v>69.125</v>
      </c>
      <c r="M17" s="16"/>
      <c r="N17" s="16">
        <f>-(J17-G17)+N16</f>
        <v>664</v>
      </c>
      <c r="O17" s="16"/>
    </row>
    <row r="18" ht="21.2" customHeight="1">
      <c r="B18" s="26"/>
      <c r="C18" s="15">
        <v>435</v>
      </c>
      <c r="D18" s="16">
        <v>-14</v>
      </c>
      <c r="E18" s="16">
        <v>-6.6</v>
      </c>
      <c r="F18" s="16">
        <v>-9</v>
      </c>
      <c r="G18" s="30"/>
      <c r="H18" s="16"/>
      <c r="I18" s="16"/>
      <c r="J18" s="16">
        <v>7</v>
      </c>
      <c r="K18" s="30">
        <f>D18+F18+G18</f>
        <v>-23</v>
      </c>
      <c r="L18" s="30">
        <f>AVERAGE(K15:K18)</f>
        <v>41.75</v>
      </c>
      <c r="M18" s="16"/>
      <c r="N18" s="16">
        <f>-(J18-G18)+N17</f>
        <v>657</v>
      </c>
      <c r="O18" s="16"/>
    </row>
    <row r="19" ht="21.2" customHeight="1">
      <c r="B19" s="26"/>
      <c r="C19" s="15">
        <v>419</v>
      </c>
      <c r="D19" s="16">
        <v>-11</v>
      </c>
      <c r="E19" s="16">
        <v>-12.7</v>
      </c>
      <c r="F19" s="16">
        <v>-45</v>
      </c>
      <c r="G19" s="30"/>
      <c r="H19" s="16"/>
      <c r="I19" s="16"/>
      <c r="J19" s="16">
        <v>-55</v>
      </c>
      <c r="K19" s="30">
        <f>D19+F19+G19</f>
        <v>-56</v>
      </c>
      <c r="L19" s="30">
        <f>AVERAGE(K16:K19)</f>
        <v>-1.5</v>
      </c>
      <c r="M19" s="16"/>
      <c r="N19" s="16">
        <f>-(J19-G19)+N18</f>
        <v>712</v>
      </c>
      <c r="O19" s="16"/>
    </row>
    <row r="20" ht="21.2" customHeight="1">
      <c r="B20" s="27">
        <v>2020</v>
      </c>
      <c r="C20" s="15">
        <v>396</v>
      </c>
      <c r="D20" s="16">
        <v>98</v>
      </c>
      <c r="E20" s="16">
        <v>-5.6</v>
      </c>
      <c r="F20" s="16">
        <v>-13</v>
      </c>
      <c r="G20" s="30">
        <v>-6</v>
      </c>
      <c r="H20" s="16"/>
      <c r="I20" s="16"/>
      <c r="J20" s="16">
        <v>-15</v>
      </c>
      <c r="K20" s="30">
        <f>D20+F20+G20</f>
        <v>79</v>
      </c>
      <c r="L20" s="30">
        <f>AVERAGE(K17:K20)</f>
        <v>16</v>
      </c>
      <c r="M20" s="16"/>
      <c r="N20" s="16">
        <f>-(J20-G20)+N19</f>
        <v>721</v>
      </c>
      <c r="O20" s="16"/>
    </row>
    <row r="21" ht="21.2" customHeight="1">
      <c r="B21" s="26"/>
      <c r="C21" s="15">
        <v>284</v>
      </c>
      <c r="D21" s="16">
        <v>36</v>
      </c>
      <c r="E21" s="16">
        <v>-5.4</v>
      </c>
      <c r="F21" s="16">
        <v>-9</v>
      </c>
      <c r="G21" s="30">
        <v>-6</v>
      </c>
      <c r="H21" s="16"/>
      <c r="I21" s="16"/>
      <c r="J21" s="16">
        <v>-47</v>
      </c>
      <c r="K21" s="30">
        <f>D21+F21+G21</f>
        <v>21</v>
      </c>
      <c r="L21" s="30">
        <f>AVERAGE(K18:K21)</f>
        <v>5.25</v>
      </c>
      <c r="M21" s="16"/>
      <c r="N21" s="16">
        <f>-(J21-G21)+N20</f>
        <v>762</v>
      </c>
      <c r="O21" s="16"/>
    </row>
    <row r="22" ht="21.2" customHeight="1">
      <c r="B22" s="26"/>
      <c r="C22" s="15">
        <v>252</v>
      </c>
      <c r="D22" s="16">
        <v>27</v>
      </c>
      <c r="E22" s="16">
        <v>-5</v>
      </c>
      <c r="F22" s="16">
        <v>-15</v>
      </c>
      <c r="G22" s="30">
        <v>-6</v>
      </c>
      <c r="H22" s="16"/>
      <c r="I22" s="16"/>
      <c r="J22" s="16">
        <v>-8</v>
      </c>
      <c r="K22" s="30">
        <f>D22+F22+G22</f>
        <v>6</v>
      </c>
      <c r="L22" s="30">
        <f>AVERAGE(K19:K22)</f>
        <v>12.5</v>
      </c>
      <c r="M22" s="16"/>
      <c r="N22" s="16">
        <f>-(J22-G22)+N21</f>
        <v>764</v>
      </c>
      <c r="O22" s="16"/>
    </row>
    <row r="23" ht="21.2" customHeight="1">
      <c r="B23" s="26"/>
      <c r="C23" s="15">
        <f>1239.5-SUM(C20:C22)</f>
        <v>307.5</v>
      </c>
      <c r="D23" s="30">
        <f>172.7-SUM(D20:D22)</f>
        <v>11.7</v>
      </c>
      <c r="E23" s="16">
        <v>-4.4</v>
      </c>
      <c r="F23" s="30">
        <f>-44.8-SUM(F20:F22)</f>
        <v>-7.8</v>
      </c>
      <c r="G23" s="30">
        <v>-6</v>
      </c>
      <c r="H23" s="30"/>
      <c r="I23" s="30"/>
      <c r="J23" s="30">
        <f>-55.2-SUM(J20:J22)</f>
        <v>14.8</v>
      </c>
      <c r="K23" s="30">
        <f>D23+F23+G23</f>
        <v>-2.1</v>
      </c>
      <c r="L23" s="30">
        <f>AVERAGE(K20:K23)</f>
        <v>25.975</v>
      </c>
      <c r="M23" s="16"/>
      <c r="N23" s="16">
        <f>-(J23-G23)+N22</f>
        <v>743.2</v>
      </c>
      <c r="O23" s="16"/>
    </row>
    <row r="24" ht="21.2" customHeight="1">
      <c r="B24" s="27">
        <v>2021</v>
      </c>
      <c r="C24" s="15">
        <v>274.4</v>
      </c>
      <c r="D24" s="16">
        <v>54.4</v>
      </c>
      <c r="E24" s="16">
        <v>-2.7</v>
      </c>
      <c r="F24" s="16">
        <v>-4</v>
      </c>
      <c r="G24" s="30">
        <v>-4.6</v>
      </c>
      <c r="H24" s="16">
        <v>0</v>
      </c>
      <c r="I24" s="16">
        <v>0</v>
      </c>
      <c r="J24" s="16">
        <f>-4.6</f>
        <v>-4.6</v>
      </c>
      <c r="K24" s="30">
        <f>D24+F24+G24</f>
        <v>45.8</v>
      </c>
      <c r="L24" s="30">
        <f>AVERAGE(K21:K24)</f>
        <v>17.675</v>
      </c>
      <c r="M24" s="16"/>
      <c r="N24" s="16">
        <f>-(J24-G24)+N23</f>
        <v>743.2</v>
      </c>
      <c r="O24" s="16"/>
    </row>
    <row r="25" ht="21.2" customHeight="1">
      <c r="B25" s="26"/>
      <c r="C25" s="15">
        <f>650.4-C24</f>
        <v>376</v>
      </c>
      <c r="D25" s="16">
        <f>191.6-D24</f>
        <v>137.2</v>
      </c>
      <c r="E25" s="16">
        <v>-2.1</v>
      </c>
      <c r="F25" s="16">
        <f>-11.3-F24</f>
        <v>-7.3</v>
      </c>
      <c r="G25" s="30">
        <f>-4.3-G24</f>
        <v>0.3</v>
      </c>
      <c r="H25" s="16">
        <f>-20.8-I25-I24-G25-G24</f>
        <v>-3.823</v>
      </c>
      <c r="I25" s="16">
        <v>-12.677</v>
      </c>
      <c r="J25" s="16">
        <f>-20.8-J24</f>
        <v>-16.2</v>
      </c>
      <c r="K25" s="30">
        <f>D25+F25+G25</f>
        <v>130.2</v>
      </c>
      <c r="L25" s="30">
        <f>AVERAGE(K22:K25)</f>
        <v>44.975</v>
      </c>
      <c r="M25" s="16"/>
      <c r="N25" s="16">
        <f>-(J25-G25)+N24</f>
        <v>759.7</v>
      </c>
      <c r="O25" s="16"/>
    </row>
    <row r="26" ht="21.2" customHeight="1">
      <c r="B26" s="26"/>
      <c r="C26" s="15">
        <f>1195.5-SUM(C24:C25)</f>
        <v>545.1</v>
      </c>
      <c r="D26" s="16">
        <f>329.1-SUM(D24:D25)</f>
        <v>137.5</v>
      </c>
      <c r="E26" s="16">
        <f>-9.2-SUM(E24:E25)</f>
        <v>-4.4</v>
      </c>
      <c r="F26" s="16">
        <f>-21.6-SUM(F24:F25)</f>
        <v>-10.3</v>
      </c>
      <c r="G26" s="30">
        <f>-12.9-SUM(G24:G25)</f>
        <v>-8.6</v>
      </c>
      <c r="H26" s="16">
        <f>-29.4-I26-I25-I24-H25-H24-G26-G25-G24</f>
        <v>0</v>
      </c>
      <c r="I26" s="16">
        <f>-12.677-I25-I24</f>
        <v>0</v>
      </c>
      <c r="J26" s="16">
        <f>-29.4-SUM(J24:J25)</f>
        <v>-8.6</v>
      </c>
      <c r="K26" s="30">
        <f>D26+F26+G26</f>
        <v>118.6</v>
      </c>
      <c r="L26" s="30">
        <f>AVERAGE(K23:K26)</f>
        <v>73.125</v>
      </c>
      <c r="M26" s="16"/>
      <c r="N26" s="16">
        <f>-(J26-G26)+N25</f>
        <v>759.7</v>
      </c>
      <c r="O26" s="16"/>
    </row>
    <row r="27" ht="21.2" customHeight="1">
      <c r="B27" s="26"/>
      <c r="C27" s="15">
        <f>1964.6-SUM(C24:C26)</f>
        <v>769.1</v>
      </c>
      <c r="D27" s="16">
        <f>617.7-SUM(D24:D26)</f>
        <v>288.6</v>
      </c>
      <c r="E27" s="16">
        <f>-14.6-SUM(E24:E26)</f>
        <v>-5.4</v>
      </c>
      <c r="F27" s="16">
        <f>-24.7-SUM(F24:F26)</f>
        <v>-3.1</v>
      </c>
      <c r="G27" s="30">
        <f>-20-SUM(G24:G26)</f>
        <v>-7.1</v>
      </c>
      <c r="H27" s="16">
        <f>-7.7-SUM(H24:H26)</f>
        <v>-3.877</v>
      </c>
      <c r="I27" s="16">
        <f>-106.7+0.3-SUM(I24:I26)</f>
        <v>-93.723</v>
      </c>
      <c r="J27" s="16">
        <f>-134.2-SUM(J24:J26)</f>
        <v>-104.8</v>
      </c>
      <c r="K27" s="30">
        <f>D27+F27+G27</f>
        <v>278.4</v>
      </c>
      <c r="L27" s="30">
        <f>AVERAGE(K24:K27)</f>
        <v>143.25</v>
      </c>
      <c r="M27" s="16">
        <f>L27</f>
        <v>143.25</v>
      </c>
      <c r="N27" s="16">
        <f>-(J27-G27)+N26</f>
        <v>857.4</v>
      </c>
      <c r="O27" s="16">
        <f>N27</f>
        <v>857.4</v>
      </c>
    </row>
    <row r="28" ht="21.2" customHeight="1">
      <c r="B28" s="27">
        <v>2022</v>
      </c>
      <c r="C28" s="15"/>
      <c r="D28" s="16"/>
      <c r="E28" s="16"/>
      <c r="F28" s="16"/>
      <c r="G28" s="30"/>
      <c r="H28" s="16"/>
      <c r="I28" s="16"/>
      <c r="J28" s="16"/>
      <c r="K28" s="30"/>
      <c r="L28" s="19"/>
      <c r="M28" s="16">
        <f>SUM('Model'!E8:E9)</f>
        <v>452.518818962430</v>
      </c>
      <c r="N28" s="19"/>
      <c r="O28" s="16">
        <f>'Model'!E32</f>
        <v>1976.330551028110</v>
      </c>
    </row>
  </sheetData>
  <mergeCells count="1">
    <mergeCell ref="B2:O2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2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96875" style="31" customWidth="1"/>
    <col min="2" max="11" width="9.21875" style="31" customWidth="1"/>
    <col min="12" max="16384" width="16.3516" style="31" customWidth="1"/>
  </cols>
  <sheetData>
    <row r="1" ht="7.55" customHeight="1"/>
    <row r="2" ht="27.65" customHeight="1">
      <c r="B2" t="s" s="2">
        <v>20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50</v>
      </c>
      <c r="D3" t="s" s="5">
        <v>51</v>
      </c>
      <c r="E3" t="s" s="5">
        <v>21</v>
      </c>
      <c r="F3" t="s" s="5">
        <v>22</v>
      </c>
      <c r="G3" t="s" s="5">
        <v>11</v>
      </c>
      <c r="H3" t="s" s="5">
        <v>12</v>
      </c>
      <c r="I3" t="s" s="5">
        <v>52</v>
      </c>
      <c r="J3" t="s" s="5">
        <v>25</v>
      </c>
      <c r="K3" t="s" s="5">
        <v>34</v>
      </c>
    </row>
    <row r="4" ht="20.25" customHeight="1">
      <c r="B4" s="23">
        <v>2016</v>
      </c>
      <c r="C4" s="24">
        <v>295</v>
      </c>
      <c r="D4" s="25">
        <v>1151</v>
      </c>
      <c r="E4" s="25">
        <f>D4-C4</f>
        <v>856</v>
      </c>
      <c r="F4" s="25">
        <f>F5-'Sales'!E4</f>
        <v>790.25</v>
      </c>
      <c r="G4" s="25">
        <v>300</v>
      </c>
      <c r="H4" s="25">
        <v>851</v>
      </c>
      <c r="I4" s="25">
        <f>G4+H4-C4-E4</f>
        <v>0</v>
      </c>
      <c r="J4" s="25">
        <f>C4-G4</f>
        <v>-5</v>
      </c>
      <c r="K4" s="25"/>
    </row>
    <row r="5" ht="20.05" customHeight="1">
      <c r="B5" s="26"/>
      <c r="C5" s="15">
        <v>266</v>
      </c>
      <c r="D5" s="16">
        <v>1113</v>
      </c>
      <c r="E5" s="16">
        <f>D5-C5</f>
        <v>847</v>
      </c>
      <c r="F5" s="16">
        <f>F6-'Sales'!E5</f>
        <v>815.5</v>
      </c>
      <c r="G5" s="16">
        <v>268</v>
      </c>
      <c r="H5" s="16">
        <v>846</v>
      </c>
      <c r="I5" s="16">
        <f>G5+H5-C5-E5</f>
        <v>1</v>
      </c>
      <c r="J5" s="16">
        <f>C5-G5</f>
        <v>-2</v>
      </c>
      <c r="K5" s="16"/>
    </row>
    <row r="6" ht="20.05" customHeight="1">
      <c r="B6" s="26"/>
      <c r="C6" s="15">
        <v>268</v>
      </c>
      <c r="D6" s="16">
        <v>1175</v>
      </c>
      <c r="E6" s="16">
        <f>D6-C6</f>
        <v>907</v>
      </c>
      <c r="F6" s="16">
        <f>F7-'Sales'!E6</f>
        <v>840.75</v>
      </c>
      <c r="G6" s="16">
        <v>297</v>
      </c>
      <c r="H6" s="16">
        <v>878</v>
      </c>
      <c r="I6" s="16">
        <f>G6+H6-C6-E6</f>
        <v>0</v>
      </c>
      <c r="J6" s="16">
        <f>C6-G6</f>
        <v>-29</v>
      </c>
      <c r="K6" s="16"/>
    </row>
    <row r="7" ht="20.05" customHeight="1">
      <c r="B7" s="26"/>
      <c r="C7" s="15">
        <v>328</v>
      </c>
      <c r="D7" s="16">
        <v>1210</v>
      </c>
      <c r="E7" s="16">
        <f>D7-C7</f>
        <v>882</v>
      </c>
      <c r="F7" s="16">
        <f>F8-'Sales'!E7</f>
        <v>866</v>
      </c>
      <c r="G7" s="16">
        <v>302</v>
      </c>
      <c r="H7" s="16">
        <v>907</v>
      </c>
      <c r="I7" s="16">
        <f>G7+H7-C7-E7</f>
        <v>-1</v>
      </c>
      <c r="J7" s="16">
        <f>C7-G7</f>
        <v>26</v>
      </c>
      <c r="K7" s="16"/>
    </row>
    <row r="8" ht="20.05" customHeight="1">
      <c r="B8" s="27">
        <v>2017</v>
      </c>
      <c r="C8" s="15">
        <v>404</v>
      </c>
      <c r="D8" s="16">
        <v>1292</v>
      </c>
      <c r="E8" s="16">
        <f>D8-C8</f>
        <v>888</v>
      </c>
      <c r="F8" s="16">
        <f>F9-'Sales'!E8</f>
        <v>890.5</v>
      </c>
      <c r="G8" s="16">
        <v>426</v>
      </c>
      <c r="H8" s="16">
        <v>866</v>
      </c>
      <c r="I8" s="16">
        <f>G8+H8-C8-E8</f>
        <v>0</v>
      </c>
      <c r="J8" s="16">
        <f>C8-G8</f>
        <v>-22</v>
      </c>
      <c r="K8" s="16"/>
    </row>
    <row r="9" ht="20.05" customHeight="1">
      <c r="B9" s="26"/>
      <c r="C9" s="15">
        <v>370</v>
      </c>
      <c r="D9" s="16">
        <v>1255</v>
      </c>
      <c r="E9" s="16">
        <f>D9-C9</f>
        <v>885</v>
      </c>
      <c r="F9" s="16">
        <f>F10-'Sales'!E9</f>
        <v>915</v>
      </c>
      <c r="G9" s="16">
        <v>339</v>
      </c>
      <c r="H9" s="16">
        <v>916</v>
      </c>
      <c r="I9" s="16">
        <f>G9+H9-C9-E9</f>
        <v>0</v>
      </c>
      <c r="J9" s="16">
        <f>C9-G9</f>
        <v>31</v>
      </c>
      <c r="K9" s="16"/>
    </row>
    <row r="10" ht="20.05" customHeight="1">
      <c r="B10" s="26"/>
      <c r="C10" s="15">
        <v>402</v>
      </c>
      <c r="D10" s="16">
        <v>1347</v>
      </c>
      <c r="E10" s="16">
        <f>D10-C10</f>
        <v>945</v>
      </c>
      <c r="F10" s="16">
        <f>F11-'Sales'!E10</f>
        <v>939.5</v>
      </c>
      <c r="G10" s="16">
        <v>366</v>
      </c>
      <c r="H10" s="16">
        <v>982</v>
      </c>
      <c r="I10" s="16">
        <f>G10+H10-C10-E10</f>
        <v>1</v>
      </c>
      <c r="J10" s="16">
        <f>C10-G10</f>
        <v>36</v>
      </c>
      <c r="K10" s="16"/>
    </row>
    <row r="11" ht="20.05" customHeight="1">
      <c r="B11" s="26"/>
      <c r="C11" s="15">
        <v>374</v>
      </c>
      <c r="D11" s="16">
        <v>1359</v>
      </c>
      <c r="E11" s="16">
        <f>D11-C11</f>
        <v>985</v>
      </c>
      <c r="F11" s="16">
        <f>F12-'Sales'!E11</f>
        <v>964</v>
      </c>
      <c r="G11" s="16">
        <v>401</v>
      </c>
      <c r="H11" s="16">
        <v>958</v>
      </c>
      <c r="I11" s="16">
        <f>G11+H11-C11-E11</f>
        <v>0</v>
      </c>
      <c r="J11" s="16">
        <f>C11-G11</f>
        <v>-27</v>
      </c>
      <c r="K11" s="16"/>
    </row>
    <row r="12" ht="20.05" customHeight="1">
      <c r="B12" s="27">
        <v>2018</v>
      </c>
      <c r="C12" s="15">
        <v>424</v>
      </c>
      <c r="D12" s="16">
        <v>1373</v>
      </c>
      <c r="E12" s="16">
        <f>D12-C12</f>
        <v>949</v>
      </c>
      <c r="F12" s="16">
        <f>F13-'Sales'!E12</f>
        <v>989</v>
      </c>
      <c r="G12" s="16">
        <v>500</v>
      </c>
      <c r="H12" s="16">
        <v>873</v>
      </c>
      <c r="I12" s="16">
        <f>G12+H12-C12-E12</f>
        <v>0</v>
      </c>
      <c r="J12" s="16">
        <f>C12-G12</f>
        <v>-76</v>
      </c>
      <c r="K12" s="16"/>
    </row>
    <row r="13" ht="20.05" customHeight="1">
      <c r="B13" s="26"/>
      <c r="C13" s="15">
        <v>268</v>
      </c>
      <c r="D13" s="16">
        <v>1310</v>
      </c>
      <c r="E13" s="16">
        <f>D13-C13</f>
        <v>1042</v>
      </c>
      <c r="F13" s="16">
        <f>F14-'Sales'!E13</f>
        <v>1014</v>
      </c>
      <c r="G13" s="16">
        <v>411</v>
      </c>
      <c r="H13" s="16">
        <v>899</v>
      </c>
      <c r="I13" s="16">
        <f>G13+H13-C13-E13</f>
        <v>0</v>
      </c>
      <c r="J13" s="16">
        <f>C13-G13</f>
        <v>-143</v>
      </c>
      <c r="K13" s="16"/>
    </row>
    <row r="14" ht="20.05" customHeight="1">
      <c r="B14" s="26"/>
      <c r="C14" s="15">
        <v>351</v>
      </c>
      <c r="D14" s="16">
        <v>1473</v>
      </c>
      <c r="E14" s="16">
        <f>D14-C14</f>
        <v>1122</v>
      </c>
      <c r="F14" s="16">
        <f>F15-'Sales'!E14</f>
        <v>1039</v>
      </c>
      <c r="G14" s="16">
        <v>471</v>
      </c>
      <c r="H14" s="16">
        <v>1002</v>
      </c>
      <c r="I14" s="16">
        <f>G14+H14-C14-E14</f>
        <v>0</v>
      </c>
      <c r="J14" s="16">
        <f>C14-G14</f>
        <v>-120</v>
      </c>
      <c r="K14" s="16"/>
    </row>
    <row r="15" ht="20.05" customHeight="1">
      <c r="B15" s="26"/>
      <c r="C15" s="15">
        <v>368</v>
      </c>
      <c r="D15" s="16">
        <v>1443</v>
      </c>
      <c r="E15" s="16">
        <f>D15-C15</f>
        <v>1075</v>
      </c>
      <c r="F15" s="16">
        <f>F16-'Sales'!E15</f>
        <v>1064</v>
      </c>
      <c r="G15" s="16">
        <v>473</v>
      </c>
      <c r="H15" s="16">
        <v>970</v>
      </c>
      <c r="I15" s="16">
        <f>G15+H15-C15-E15</f>
        <v>0</v>
      </c>
      <c r="J15" s="16">
        <f>C15-G15</f>
        <v>-105</v>
      </c>
      <c r="K15" s="16"/>
    </row>
    <row r="16" ht="20.05" customHeight="1">
      <c r="B16" s="27">
        <v>2019</v>
      </c>
      <c r="C16" s="15">
        <v>392</v>
      </c>
      <c r="D16" s="16">
        <v>1469</v>
      </c>
      <c r="E16" s="16">
        <f>D16-C16</f>
        <v>1077</v>
      </c>
      <c r="F16" s="16">
        <f>F17-'Sales'!E16</f>
        <v>1116.75</v>
      </c>
      <c r="G16" s="16">
        <v>616</v>
      </c>
      <c r="H16" s="16">
        <v>853</v>
      </c>
      <c r="I16" s="16">
        <f>G16+H16-C16-E16</f>
        <v>0</v>
      </c>
      <c r="J16" s="16">
        <f>C16-G16</f>
        <v>-224</v>
      </c>
      <c r="K16" s="16"/>
    </row>
    <row r="17" ht="20.05" customHeight="1">
      <c r="B17" s="26"/>
      <c r="C17" s="15">
        <v>287</v>
      </c>
      <c r="D17" s="16">
        <v>1324</v>
      </c>
      <c r="E17" s="16">
        <f>D17-C17</f>
        <v>1037</v>
      </c>
      <c r="F17" s="16">
        <f>F18-'Sales'!E17</f>
        <v>1169.5</v>
      </c>
      <c r="G17" s="16">
        <v>439</v>
      </c>
      <c r="H17" s="16">
        <v>885</v>
      </c>
      <c r="I17" s="16">
        <f>G17+H17-C17-E17</f>
        <v>0</v>
      </c>
      <c r="J17" s="16">
        <f>C17-G17</f>
        <v>-152</v>
      </c>
      <c r="K17" s="16"/>
    </row>
    <row r="18" ht="20.05" customHeight="1">
      <c r="B18" s="26"/>
      <c r="C18" s="15">
        <v>271</v>
      </c>
      <c r="D18" s="16">
        <v>1308</v>
      </c>
      <c r="E18" s="16">
        <f>D18-C18</f>
        <v>1037</v>
      </c>
      <c r="F18" s="16">
        <f>F19-'Sales'!E18</f>
        <v>1222.25</v>
      </c>
      <c r="G18" s="16">
        <v>397</v>
      </c>
      <c r="H18" s="16">
        <v>911</v>
      </c>
      <c r="I18" s="16">
        <f>G18+H18-C18-E18</f>
        <v>0</v>
      </c>
      <c r="J18" s="16">
        <f>C18-G18</f>
        <v>-126</v>
      </c>
      <c r="K18" s="16"/>
    </row>
    <row r="19" ht="20.05" customHeight="1">
      <c r="B19" s="26"/>
      <c r="C19" s="15">
        <v>159</v>
      </c>
      <c r="D19" s="16">
        <v>1209</v>
      </c>
      <c r="E19" s="16">
        <f>D19-C19</f>
        <v>1050</v>
      </c>
      <c r="F19" s="16">
        <f>F20-'Sales'!E19</f>
        <v>1275</v>
      </c>
      <c r="G19" s="16">
        <v>325</v>
      </c>
      <c r="H19" s="16">
        <v>884</v>
      </c>
      <c r="I19" s="16">
        <f>G19+H19-C19-E19</f>
        <v>0</v>
      </c>
      <c r="J19" s="16">
        <f>C19-G19</f>
        <v>-166</v>
      </c>
      <c r="K19" s="16"/>
    </row>
    <row r="20" ht="20.05" customHeight="1">
      <c r="B20" s="27">
        <v>2020</v>
      </c>
      <c r="C20" s="15">
        <v>222</v>
      </c>
      <c r="D20" s="16">
        <v>1239</v>
      </c>
      <c r="E20" s="16">
        <f>D20-C20</f>
        <v>1017</v>
      </c>
      <c r="F20" s="16">
        <f>F21-'Sales'!E20</f>
        <v>1325</v>
      </c>
      <c r="G20" s="16">
        <v>374</v>
      </c>
      <c r="H20" s="16">
        <v>865</v>
      </c>
      <c r="I20" s="16">
        <f>G20+H20-C20-E20</f>
        <v>0</v>
      </c>
      <c r="J20" s="16">
        <f>C20-G20</f>
        <v>-152</v>
      </c>
      <c r="K20" s="16"/>
    </row>
    <row r="21" ht="20.05" customHeight="1">
      <c r="B21" s="26"/>
      <c r="C21" s="15">
        <v>208</v>
      </c>
      <c r="D21" s="16">
        <v>1229</v>
      </c>
      <c r="E21" s="16">
        <f>D21-C21</f>
        <v>1021</v>
      </c>
      <c r="F21" s="16">
        <f>F22-'Sales'!E21</f>
        <v>1375</v>
      </c>
      <c r="G21" s="16">
        <v>367</v>
      </c>
      <c r="H21" s="16">
        <v>862</v>
      </c>
      <c r="I21" s="16">
        <f>G21+H21-C21-E21</f>
        <v>0</v>
      </c>
      <c r="J21" s="16">
        <f>C21-G21</f>
        <v>-159</v>
      </c>
      <c r="K21" s="16"/>
    </row>
    <row r="22" ht="20.05" customHeight="1">
      <c r="B22" s="26"/>
      <c r="C22" s="15">
        <v>209</v>
      </c>
      <c r="D22" s="16">
        <v>1180</v>
      </c>
      <c r="E22" s="16">
        <f>D22-C22</f>
        <v>971</v>
      </c>
      <c r="F22" s="16">
        <f>18+745+487+159+16</f>
        <v>1425</v>
      </c>
      <c r="G22" s="16">
        <v>316</v>
      </c>
      <c r="H22" s="16">
        <v>864</v>
      </c>
      <c r="I22" s="16">
        <f>G22+H22-C22-E22</f>
        <v>0</v>
      </c>
      <c r="J22" s="16">
        <f>C22-G22</f>
        <v>-107</v>
      </c>
      <c r="K22" s="16"/>
    </row>
    <row r="23" ht="20.05" customHeight="1">
      <c r="B23" s="26"/>
      <c r="C23" s="15">
        <v>231</v>
      </c>
      <c r="D23" s="16">
        <v>1159</v>
      </c>
      <c r="E23" s="16">
        <f>D23-C23</f>
        <v>928</v>
      </c>
      <c r="F23" s="16">
        <f>25+758+515+16+161</f>
        <v>1475</v>
      </c>
      <c r="G23" s="16">
        <v>313</v>
      </c>
      <c r="H23" s="16">
        <v>846</v>
      </c>
      <c r="I23" s="16">
        <f>G23+H23-C23-E23</f>
        <v>0</v>
      </c>
      <c r="J23" s="16">
        <f>C23-G23</f>
        <v>-82</v>
      </c>
      <c r="K23" s="16"/>
    </row>
    <row r="24" ht="20.05" customHeight="1">
      <c r="B24" s="27">
        <v>2021</v>
      </c>
      <c r="C24" s="15">
        <v>276</v>
      </c>
      <c r="D24" s="16">
        <v>1201</v>
      </c>
      <c r="E24" s="16">
        <f>D24-C24</f>
        <v>925</v>
      </c>
      <c r="F24" s="16">
        <f>31+767+16+17+533</f>
        <v>1364</v>
      </c>
      <c r="G24" s="16">
        <v>318</v>
      </c>
      <c r="H24" s="16">
        <v>883</v>
      </c>
      <c r="I24" s="16">
        <f>G24+H24-C24-E24</f>
        <v>0</v>
      </c>
      <c r="J24" s="16">
        <f>C24-G24</f>
        <v>-42</v>
      </c>
      <c r="K24" s="16"/>
    </row>
    <row r="25" ht="20.05" customHeight="1">
      <c r="B25" s="26"/>
      <c r="C25" s="15">
        <v>390</v>
      </c>
      <c r="D25" s="16">
        <v>1314</v>
      </c>
      <c r="E25" s="16">
        <f>D25-C25</f>
        <v>924</v>
      </c>
      <c r="F25" s="16">
        <f>36+777+553+170+17</f>
        <v>1553</v>
      </c>
      <c r="G25" s="16">
        <v>408</v>
      </c>
      <c r="H25" s="16">
        <v>906</v>
      </c>
      <c r="I25" s="16">
        <f>G25+H25-C25-E25</f>
        <v>0</v>
      </c>
      <c r="J25" s="16">
        <f>C25-G25</f>
        <v>-18</v>
      </c>
      <c r="K25" s="16"/>
    </row>
    <row r="26" ht="20.05" customHeight="1">
      <c r="B26" s="26"/>
      <c r="C26" s="15">
        <v>510</v>
      </c>
      <c r="D26" s="16">
        <v>1510</v>
      </c>
      <c r="E26" s="16">
        <f>D26-C26</f>
        <v>1000</v>
      </c>
      <c r="F26" s="16">
        <f>787+39+581+176+17</f>
        <v>1600</v>
      </c>
      <c r="G26" s="16">
        <v>472</v>
      </c>
      <c r="H26" s="16">
        <v>1038</v>
      </c>
      <c r="I26" s="16">
        <f>G26+H26-C26-E26</f>
        <v>0</v>
      </c>
      <c r="J26" s="16">
        <f>C26-G26</f>
        <v>38</v>
      </c>
      <c r="K26" s="16">
        <f>J26</f>
        <v>38</v>
      </c>
    </row>
    <row r="27" ht="20.05" customHeight="1">
      <c r="B27" s="26"/>
      <c r="C27" s="15">
        <v>691</v>
      </c>
      <c r="D27" s="16">
        <v>1666</v>
      </c>
      <c r="E27" s="16">
        <f>D27-C27</f>
        <v>975</v>
      </c>
      <c r="F27" s="16">
        <f>17+190+599+44+795</f>
        <v>1645</v>
      </c>
      <c r="G27" s="16">
        <v>465</v>
      </c>
      <c r="H27" s="16">
        <v>1201</v>
      </c>
      <c r="I27" s="16">
        <f>G27+H27-C27-E27</f>
        <v>0</v>
      </c>
      <c r="J27" s="16">
        <f>C27-G27</f>
        <v>226</v>
      </c>
      <c r="K27" s="16">
        <f>J27</f>
        <v>226</v>
      </c>
    </row>
    <row r="28" ht="20.05" customHeight="1">
      <c r="B28" s="27">
        <v>2022</v>
      </c>
      <c r="C28" s="15"/>
      <c r="D28" s="16"/>
      <c r="E28" s="16">
        <f>D28-C28</f>
        <v>0</v>
      </c>
      <c r="F28" s="16"/>
      <c r="G28" s="16"/>
      <c r="H28" s="16"/>
      <c r="I28" s="16"/>
      <c r="J28" s="16"/>
      <c r="K28" s="16">
        <f>'Model'!E29</f>
        <v>831.075410262050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E2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0.2578" style="32" customWidth="1"/>
    <col min="2" max="5" width="9.9375" style="32" customWidth="1"/>
    <col min="6" max="16384" width="16.3516" style="32" customWidth="1"/>
  </cols>
  <sheetData>
    <row r="1" ht="30.75" customHeight="1"/>
    <row r="2" ht="27.65" customHeight="1">
      <c r="B2" t="s" s="2">
        <v>53</v>
      </c>
      <c r="C2" s="2"/>
      <c r="D2" s="2"/>
      <c r="E2" s="2"/>
    </row>
    <row r="3" ht="20.25" customHeight="1">
      <c r="B3" s="4"/>
      <c r="C3" t="s" s="33">
        <v>54</v>
      </c>
      <c r="D3" t="s" s="33">
        <v>37</v>
      </c>
      <c r="E3" t="s" s="33">
        <v>55</v>
      </c>
    </row>
    <row r="4" ht="20.25" customHeight="1">
      <c r="B4" s="23">
        <v>2018</v>
      </c>
      <c r="C4" s="34">
        <v>28500</v>
      </c>
      <c r="D4" s="35"/>
      <c r="E4" s="35"/>
    </row>
    <row r="5" ht="20.05" customHeight="1">
      <c r="B5" s="26"/>
      <c r="C5" s="36">
        <v>22375</v>
      </c>
      <c r="D5" s="37"/>
      <c r="E5" s="37"/>
    </row>
    <row r="6" ht="20.05" customHeight="1">
      <c r="B6" s="26"/>
      <c r="C6" s="36">
        <v>25850</v>
      </c>
      <c r="D6" s="37"/>
      <c r="E6" s="37"/>
    </row>
    <row r="7" ht="20.05" customHeight="1">
      <c r="B7" s="26"/>
      <c r="C7" s="36">
        <v>20250</v>
      </c>
      <c r="D7" s="37"/>
      <c r="E7" s="37"/>
    </row>
    <row r="8" ht="20.05" customHeight="1">
      <c r="B8" s="27">
        <v>2019</v>
      </c>
      <c r="C8" s="36">
        <v>23925</v>
      </c>
      <c r="D8" s="37"/>
      <c r="E8" s="37"/>
    </row>
    <row r="9" ht="20.05" customHeight="1">
      <c r="B9" s="26"/>
      <c r="C9" s="36">
        <v>17550</v>
      </c>
      <c r="D9" s="37"/>
      <c r="E9" s="37"/>
    </row>
    <row r="10" ht="20.05" customHeight="1">
      <c r="B10" s="26"/>
      <c r="C10" s="36">
        <v>12400</v>
      </c>
      <c r="D10" s="37"/>
      <c r="E10" s="37"/>
    </row>
    <row r="11" ht="20.05" customHeight="1">
      <c r="B11" s="26"/>
      <c r="C11" s="36">
        <v>11475</v>
      </c>
      <c r="D11" s="37"/>
      <c r="E11" s="37"/>
    </row>
    <row r="12" ht="20.05" customHeight="1">
      <c r="B12" s="27">
        <v>2020</v>
      </c>
      <c r="C12" s="36">
        <v>8100</v>
      </c>
      <c r="D12" s="37"/>
      <c r="E12" s="37"/>
    </row>
    <row r="13" ht="20.05" customHeight="1">
      <c r="B13" s="26"/>
      <c r="C13" s="36">
        <v>7100</v>
      </c>
      <c r="D13" s="37"/>
      <c r="E13" s="37"/>
    </row>
    <row r="14" ht="20.05" customHeight="1">
      <c r="B14" s="26"/>
      <c r="C14" s="15">
        <v>8150</v>
      </c>
      <c r="D14" s="37"/>
      <c r="E14" s="37"/>
    </row>
    <row r="15" ht="20.05" customHeight="1">
      <c r="B15" s="26"/>
      <c r="C15" s="15">
        <v>13850</v>
      </c>
      <c r="D15" s="37"/>
      <c r="E15" s="37"/>
    </row>
    <row r="16" ht="20.05" customHeight="1">
      <c r="B16" s="27">
        <v>2021</v>
      </c>
      <c r="C16" s="15">
        <v>11266.989258</v>
      </c>
      <c r="D16" s="19"/>
      <c r="E16" s="19"/>
    </row>
    <row r="17" ht="20.05" customHeight="1">
      <c r="B17" s="26"/>
      <c r="C17" s="15">
        <v>14200</v>
      </c>
      <c r="D17" s="19"/>
      <c r="E17" s="19"/>
    </row>
    <row r="18" ht="20.05" customHeight="1">
      <c r="B18" s="26"/>
      <c r="C18" s="15">
        <v>21175</v>
      </c>
      <c r="D18" s="19"/>
      <c r="E18" s="19"/>
    </row>
    <row r="19" ht="20.05" customHeight="1">
      <c r="B19" s="26"/>
      <c r="C19" s="15">
        <v>20400</v>
      </c>
      <c r="D19" s="19"/>
      <c r="E19" s="19"/>
    </row>
    <row r="20" ht="20.05" customHeight="1">
      <c r="B20" s="27">
        <v>2022</v>
      </c>
      <c r="C20" s="15">
        <v>25000</v>
      </c>
      <c r="D20" s="16">
        <f>C20</f>
        <v>25000</v>
      </c>
      <c r="E20" s="16">
        <v>51578.4233049986</v>
      </c>
    </row>
    <row r="21" ht="20.05" customHeight="1">
      <c r="B21" s="26"/>
      <c r="C21" s="15"/>
      <c r="D21" s="38">
        <f>'Model'!E42</f>
        <v>104562.746924309</v>
      </c>
      <c r="E21" s="37"/>
    </row>
  </sheetData>
  <mergeCells count="1">
    <mergeCell ref="B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