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Capital " sheetId="6" r:id="rId9"/>
  </sheets>
</workbook>
</file>

<file path=xl/sharedStrings.xml><?xml version="1.0" encoding="utf-8"?>
<sst xmlns="http://schemas.openxmlformats.org/spreadsheetml/2006/main" uniqueCount="85">
  <si>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</si>
  <si>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</si>
  <si>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</si>
  <si>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</si>
  <si>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</si>
  <si>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</si>
  <si>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</si>
  <si>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</si>
  <si>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</si>
  <si>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</si>
  <si>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</si>
  <si>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</si>
  <si>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</si>
  <si>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</si>
  <si>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</si>
  <si>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</si>
  <si>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</si>
  <si>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</si>
  <si>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</si>
  <si>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</si>
  <si>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</si>
  <si>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</si>
  <si>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</si>
  <si>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</si>
  <si>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</si>
  <si>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</si>
  <si>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</si>
  <si>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</si>
  <si>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</si>
  <si>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</si>
  <si>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</si>
  <si>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</si>
  <si>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</si>
  <si>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</si>
  <si>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</si>
  <si>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</si>
  <si>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</si>
  <si>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</si>
  <si>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</si>
  <si>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</si>
  <si>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</si>
  <si>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</si>
  <si>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</si>
  <si>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>Non cash costs</t>
  </si>
  <si>
    <t>Profit</t>
  </si>
  <si>
    <t xml:space="preserve">Sales growth </t>
  </si>
  <si>
    <t>Receipts</t>
  </si>
  <si>
    <t xml:space="preserve">Leases </t>
  </si>
  <si>
    <t xml:space="preserve">Free cashflow </t>
  </si>
  <si>
    <t>Cash</t>
  </si>
  <si>
    <t>Assets</t>
  </si>
  <si>
    <t>Check</t>
  </si>
  <si>
    <t>Share price</t>
  </si>
  <si>
    <t>ITMG</t>
  </si>
  <si>
    <t xml:space="preserve">Previous </t>
  </si>
  <si>
    <t>Capital</t>
  </si>
  <si>
    <t xml:space="preserve">Total </t>
  </si>
  <si>
    <t>Table 1</t>
  </si>
  <si>
    <t xml:space="preserve">capital history </t>
  </si>
  <si>
    <t xml:space="preserve">Start date </t>
  </si>
  <si>
    <t xml:space="preserve">Number of quarters </t>
  </si>
  <si>
    <t xml:space="preserve">million dollars </t>
  </si>
  <si>
    <t>paid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</si>
  <si>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</si>
  <si>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</si>
  <si>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</si>
  <si>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</si>
  <si>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</si>
  <si>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</si>
  <si>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>raised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</si>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</sst>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"/>
    <numFmt numFmtId="60" formatCode="#,##0%"/>
    <numFmt numFmtId="61" formatCode="mmmm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6"/>
      <name val="Arial"/>
    </font>
    <font>
      <sz val="10"/>
      <color indexed="16"/>
      <name val="Helvetica Neue"/>
    </font>
    <font>
      <b val="1"/>
      <sz val="25"/>
      <color indexed="8"/>
      <name val="Helvetica Neue"/>
    </font>
    <font>
      <b val="1"/>
      <i val="1"/>
      <sz val="25"/>
      <color indexed="1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4" borderId="4" applyNumberFormat="1" applyFont="1" applyFill="0" applyBorder="1" applyAlignment="1" applyProtection="0">
      <alignment horizontal="right"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3" fontId="4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efffe"/>
      <rgbColor rgb="ff323232"/>
      <rgbColor rgb="ff919191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61821"/>
          <c:y val="0.0426778"/>
          <c:w val="0.794543"/>
          <c:h val="0.886395"/>
        </c:manualLayout>
      </c:layout>
      <c:lineChart>
        <c:grouping val="standard"/>
        <c:varyColors val="0"/>
        <c:ser>
          <c:idx val="0"/>
          <c:order val="0"/>
          <c:tx>
            <c:v>Region 1</c:v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  <c:smooth val="0"/>
        </c:ser>
        <c:ser>
          <c:idx val="1"/>
          <c:order val="1"/>
          <c:tx>
            <c:v>Region 2</c:v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-0.6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.5"/>
        <c:minorUnit val="1.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344514"/>
          <c:y val="0.0774007"/>
          <c:w val="0.49225"/>
          <c:h val="0.11035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6458"/>
          <c:y val="0.0446026"/>
          <c:w val="0.844913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'!$A$3:$A$18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 '!$E$3:$E$18</c:f>
              <c:numCache>
                <c:ptCount val="16"/>
                <c:pt idx="0">
                  <c:v>17.100000</c:v>
                </c:pt>
                <c:pt idx="1">
                  <c:v>-84.700000</c:v>
                </c:pt>
                <c:pt idx="2">
                  <c:v>-165.600000</c:v>
                </c:pt>
                <c:pt idx="3">
                  <c:v>-121.600000</c:v>
                </c:pt>
                <c:pt idx="4">
                  <c:v>-176.600000</c:v>
                </c:pt>
                <c:pt idx="5">
                  <c:v>-176.600000</c:v>
                </c:pt>
                <c:pt idx="6">
                  <c:v>-176.600000</c:v>
                </c:pt>
                <c:pt idx="7">
                  <c:v>-176.600000</c:v>
                </c:pt>
                <c:pt idx="8">
                  <c:v>-176.600000</c:v>
                </c:pt>
                <c:pt idx="9">
                  <c:v>-176.600000</c:v>
                </c:pt>
                <c:pt idx="10">
                  <c:v>-176.600000</c:v>
                </c:pt>
                <c:pt idx="11">
                  <c:v>-176.600000</c:v>
                </c:pt>
                <c:pt idx="12">
                  <c:v>-176.600000</c:v>
                </c:pt>
                <c:pt idx="13">
                  <c:v>-165.600000</c:v>
                </c:pt>
                <c:pt idx="14">
                  <c:v>-131.600000</c:v>
                </c:pt>
                <c:pt idx="15">
                  <c:v>-139.300000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'!$A$3:$A$18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 '!$F$3:$F$18</c:f>
              <c:numCache>
                <c:ptCount val="16"/>
                <c:pt idx="0">
                  <c:v>-7.500000</c:v>
                </c:pt>
                <c:pt idx="1">
                  <c:v>274.500000</c:v>
                </c:pt>
                <c:pt idx="2">
                  <c:v>186.500000</c:v>
                </c:pt>
                <c:pt idx="3">
                  <c:v>35.500000</c:v>
                </c:pt>
                <c:pt idx="4">
                  <c:v>-220.500000</c:v>
                </c:pt>
                <c:pt idx="5">
                  <c:v>-426.500000</c:v>
                </c:pt>
                <c:pt idx="6">
                  <c:v>-931.500000</c:v>
                </c:pt>
                <c:pt idx="7">
                  <c:v>-1200.500000</c:v>
                </c:pt>
                <c:pt idx="8">
                  <c:v>-1400.500000</c:v>
                </c:pt>
                <c:pt idx="9">
                  <c:v>-1515.500000</c:v>
                </c:pt>
                <c:pt idx="10">
                  <c:v>-1576.500000</c:v>
                </c:pt>
                <c:pt idx="11">
                  <c:v>-1775.500000</c:v>
                </c:pt>
                <c:pt idx="12">
                  <c:v>-2024.500000</c:v>
                </c:pt>
                <c:pt idx="13">
                  <c:v>-2238.500000</c:v>
                </c:pt>
                <c:pt idx="14">
                  <c:v>-2303.500000</c:v>
                </c:pt>
                <c:pt idx="15">
                  <c:v>-2409.900000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929292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929292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'!$A$3:$A$18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 '!$G$3:$G$18</c:f>
              <c:numCache>
                <c:ptCount val="16"/>
                <c:pt idx="0">
                  <c:v>9.600000</c:v>
                </c:pt>
                <c:pt idx="1">
                  <c:v>189.800000</c:v>
                </c:pt>
                <c:pt idx="2">
                  <c:v>20.900000</c:v>
                </c:pt>
                <c:pt idx="3">
                  <c:v>-86.100000</c:v>
                </c:pt>
                <c:pt idx="4">
                  <c:v>-397.100000</c:v>
                </c:pt>
                <c:pt idx="5">
                  <c:v>-603.100000</c:v>
                </c:pt>
                <c:pt idx="6">
                  <c:v>-1108.100000</c:v>
                </c:pt>
                <c:pt idx="7">
                  <c:v>-1377.100000</c:v>
                </c:pt>
                <c:pt idx="8">
                  <c:v>-1577.100000</c:v>
                </c:pt>
                <c:pt idx="9">
                  <c:v>-1692.100000</c:v>
                </c:pt>
                <c:pt idx="10">
                  <c:v>-1753.100000</c:v>
                </c:pt>
                <c:pt idx="11">
                  <c:v>-1952.100000</c:v>
                </c:pt>
                <c:pt idx="12">
                  <c:v>-2201.100000</c:v>
                </c:pt>
                <c:pt idx="13">
                  <c:v>-2404.100000</c:v>
                </c:pt>
                <c:pt idx="14">
                  <c:v>-2435.100000</c:v>
                </c:pt>
                <c:pt idx="15">
                  <c:v>-2549.200000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937.5"/>
        <c:minorUnit val="468.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499672"/>
          <c:y val="0.0504837"/>
          <c:w val="0.362475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565824</xdr:colOff>
      <xdr:row>0</xdr:row>
      <xdr:rowOff>253942</xdr:rowOff>
    </xdr:from>
    <xdr:to>
      <xdr:col>12</xdr:col>
      <xdr:colOff>798656</xdr:colOff>
      <xdr:row>48</xdr:row>
      <xdr:rowOff>102000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88523" y="253942"/>
          <a:ext cx="8945034" cy="121721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12</xdr:col>
      <xdr:colOff>55422</xdr:colOff>
      <xdr:row>38</xdr:row>
      <xdr:rowOff>147235</xdr:rowOff>
    </xdr:from>
    <xdr:to>
      <xdr:col>14</xdr:col>
      <xdr:colOff>326813</xdr:colOff>
      <xdr:row>52</xdr:row>
      <xdr:rowOff>96638</xdr:rowOff>
    </xdr:to>
    <xdr:graphicFrame>
      <xdr:nvGraphicFramePr>
        <xdr:cNvPr id="4" name="2D Line Chart"/>
        <xdr:cNvGraphicFramePr/>
      </xdr:nvGraphicFramePr>
      <xdr:xfrm>
        <a:off x="9301022" y="10064030"/>
        <a:ext cx="2760592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179651</xdr:colOff>
      <xdr:row>22</xdr:row>
      <xdr:rowOff>191858</xdr:rowOff>
    </xdr:from>
    <xdr:to>
      <xdr:col>4</xdr:col>
      <xdr:colOff>460765</xdr:colOff>
      <xdr:row>31</xdr:row>
      <xdr:rowOff>18059</xdr:rowOff>
    </xdr:to>
    <xdr:graphicFrame>
      <xdr:nvGraphicFramePr>
        <xdr:cNvPr id="6" name="2D Line Chart"/>
        <xdr:cNvGraphicFramePr/>
      </xdr:nvGraphicFramePr>
      <xdr:xfrm>
        <a:off x="179651" y="6147523"/>
        <a:ext cx="3532315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213577</xdr:rowOff>
    </xdr:from>
    <xdr:to>
      <xdr:col>4</xdr:col>
      <xdr:colOff>743624</xdr:colOff>
      <xdr:row>23</xdr:row>
      <xdr:rowOff>109008</xdr:rowOff>
    </xdr:to>
    <xdr:sp>
      <xdr:nvSpPr>
        <xdr:cNvPr id="7" name="ITMG HAS PAID OUT 20% MORE THAN ITS MARKET VALUE"/>
        <xdr:cNvSpPr txBox="1"/>
      </xdr:nvSpPr>
      <xdr:spPr>
        <a:xfrm>
          <a:off x="-51604" y="4898607"/>
          <a:ext cx="3994825" cy="14207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ITMG HAS PAID OUT 20% </a:t>
          </a:r>
          <a:r>
            <a:rPr b="1" baseline="0" cap="none" i="1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MORE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THAN ITS MARKET VALUE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7656" style="1" customWidth="1"/>
    <col min="2" max="5" width="8.85156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t="s" s="5">
        <v>2</v>
      </c>
      <c r="E2" s="4"/>
    </row>
    <row r="3" ht="20.25" customHeight="1">
      <c r="A3" t="s" s="6">
        <v>3</v>
      </c>
      <c r="B3" s="7">
        <f>AVERAGE('Sales'!G24:G27)</f>
        <v>0.412816398242608</v>
      </c>
      <c r="C3" s="8"/>
      <c r="D3" s="8"/>
      <c r="E3" s="9">
        <f>AVERAGE(B4:E4)</f>
        <v>0.0975</v>
      </c>
    </row>
    <row r="4" ht="20.05" customHeight="1">
      <c r="A4" t="s" s="10">
        <v>4</v>
      </c>
      <c r="B4" s="11">
        <v>0.15</v>
      </c>
      <c r="C4" s="12">
        <v>0.2</v>
      </c>
      <c r="D4" s="12">
        <v>0.05</v>
      </c>
      <c r="E4" s="12">
        <v>-0.01</v>
      </c>
    </row>
    <row r="5" ht="20.05" customHeight="1">
      <c r="A5" t="s" s="10">
        <v>5</v>
      </c>
      <c r="B5" s="13">
        <f>'Sales'!C27*(1+B4)</f>
        <v>735.885</v>
      </c>
      <c r="C5" s="14">
        <f>B5*(1+C4)</f>
        <v>883.062</v>
      </c>
      <c r="D5" s="14">
        <f>C5*(1+D4)</f>
        <v>927.2151</v>
      </c>
      <c r="E5" s="14">
        <f>D5*(1+E4)</f>
        <v>917.942949</v>
      </c>
    </row>
    <row r="6" ht="20.05" customHeight="1">
      <c r="A6" t="s" s="10">
        <v>6</v>
      </c>
      <c r="B6" s="11">
        <f>AVERAGE('Sales'!I27)</f>
        <v>-0.705176695999337</v>
      </c>
      <c r="C6" s="12">
        <f>B6</f>
        <v>-0.705176695999337</v>
      </c>
      <c r="D6" s="12">
        <f>C6</f>
        <v>-0.705176695999337</v>
      </c>
      <c r="E6" s="12">
        <f>D6</f>
        <v>-0.705176695999337</v>
      </c>
    </row>
    <row r="7" ht="20.05" customHeight="1">
      <c r="A7" t="s" s="10">
        <v>7</v>
      </c>
      <c r="B7" s="15">
        <f>B5*B6</f>
        <v>-518.928952935472</v>
      </c>
      <c r="C7" s="16">
        <f>C5*C6</f>
        <v>-622.714743522567</v>
      </c>
      <c r="D7" s="16">
        <f>D5*D6</f>
        <v>-653.850480698695</v>
      </c>
      <c r="E7" s="16">
        <f>E5*E6</f>
        <v>-647.311975891708</v>
      </c>
    </row>
    <row r="8" ht="20.05" customHeight="1">
      <c r="A8" t="s" s="10">
        <v>8</v>
      </c>
      <c r="B8" s="15">
        <f>B5+B7</f>
        <v>216.956047064528</v>
      </c>
      <c r="C8" s="16">
        <f>C5+C7</f>
        <v>260.347256477433</v>
      </c>
      <c r="D8" s="16">
        <f>D5+D7</f>
        <v>273.364619301305</v>
      </c>
      <c r="E8" s="16">
        <f>E5+E7</f>
        <v>270.630973108292</v>
      </c>
    </row>
    <row r="9" ht="20.05" customHeight="1">
      <c r="A9" t="s" s="10">
        <v>9</v>
      </c>
      <c r="B9" s="15">
        <f>AVERAGE('Cashflow '!E28)</f>
        <v>-12.7</v>
      </c>
      <c r="C9" s="16">
        <f>B9</f>
        <v>-12.7</v>
      </c>
      <c r="D9" s="16">
        <f>C9</f>
        <v>-12.7</v>
      </c>
      <c r="E9" s="16">
        <f>D9</f>
        <v>-12.7</v>
      </c>
    </row>
    <row r="10" ht="20.05" customHeight="1">
      <c r="A10" t="s" s="10">
        <v>10</v>
      </c>
      <c r="B10" s="15">
        <f>B11+B14+B12</f>
        <v>-150.899232945170</v>
      </c>
      <c r="C10" s="16">
        <f>C11+C14+C12</f>
        <v>-194.260579534203</v>
      </c>
      <c r="D10" s="16">
        <f>D11+D14+D12</f>
        <v>-201.560858510914</v>
      </c>
      <c r="E10" s="16">
        <f>E11+E14+E12</f>
        <v>-197.926024925804</v>
      </c>
    </row>
    <row r="11" ht="20.05" customHeight="1">
      <c r="A11" t="s" s="10">
        <v>11</v>
      </c>
      <c r="B11" s="15">
        <f>-'Balance sheet'!G27/20</f>
        <v>-23.25</v>
      </c>
      <c r="C11" s="16">
        <f>-B26/20</f>
        <v>-36.2375</v>
      </c>
      <c r="D11" s="16">
        <f>-C26/20</f>
        <v>-34.425625</v>
      </c>
      <c r="E11" s="16">
        <f>-D26/20</f>
        <v>-32.70434375</v>
      </c>
    </row>
    <row r="12" ht="20.05" customHeight="1">
      <c r="A12" t="s" s="10">
        <v>12</v>
      </c>
      <c r="B12" s="15">
        <f>-MIN(0,B15)</f>
        <v>0</v>
      </c>
      <c r="C12" s="16">
        <f>-MIN(B27,C15)</f>
        <v>0</v>
      </c>
      <c r="D12" s="16">
        <f>-MIN(C27,D15)</f>
        <v>0</v>
      </c>
      <c r="E12" s="16">
        <f>-MIN(D27,E15)</f>
        <v>0</v>
      </c>
    </row>
    <row r="13" ht="20.05" customHeight="1">
      <c r="A13" t="s" s="10">
        <v>13</v>
      </c>
      <c r="B13" s="17">
        <v>0.7</v>
      </c>
      <c r="C13" s="16"/>
      <c r="D13" s="16"/>
      <c r="E13" s="16"/>
    </row>
    <row r="14" ht="20.05" customHeight="1">
      <c r="A14" t="s" s="10">
        <v>14</v>
      </c>
      <c r="B14" s="15">
        <f>IF(B21&gt;0,-B21*$B$13,0)</f>
        <v>-127.649232945170</v>
      </c>
      <c r="C14" s="16">
        <f>IF(C21&gt;0,-C21*$B$13,0)</f>
        <v>-158.023079534203</v>
      </c>
      <c r="D14" s="16">
        <f>IF(D21&gt;0,-D21*$B$13,0)</f>
        <v>-167.135233510914</v>
      </c>
      <c r="E14" s="16">
        <f>IF(E21&gt;0,-E21*$B$13,0)</f>
        <v>-165.221681175804</v>
      </c>
    </row>
    <row r="15" ht="20.05" customHeight="1">
      <c r="A15" t="s" s="10">
        <v>15</v>
      </c>
      <c r="B15" s="15">
        <f>B8+B9+B11+B14</f>
        <v>53.356814119358</v>
      </c>
      <c r="C15" s="16">
        <f>C8+C9+C11+C14</f>
        <v>53.386676943230</v>
      </c>
      <c r="D15" s="16">
        <f>D8+D9+D11+D14</f>
        <v>59.103760790391</v>
      </c>
      <c r="E15" s="16">
        <f>E8+E9+E11+E14</f>
        <v>60.004948182488</v>
      </c>
    </row>
    <row r="16" ht="20.05" customHeight="1">
      <c r="A16" t="s" s="10">
        <v>16</v>
      </c>
      <c r="B16" s="15">
        <f>'Balance sheet'!C28</f>
        <v>690.7</v>
      </c>
      <c r="C16" s="16">
        <f>B18</f>
        <v>744.056814119358</v>
      </c>
      <c r="D16" s="16">
        <f>C18</f>
        <v>797.443491062588</v>
      </c>
      <c r="E16" s="16">
        <f>D18</f>
        <v>856.547251852979</v>
      </c>
    </row>
    <row r="17" ht="20.05" customHeight="1">
      <c r="A17" t="s" s="10">
        <v>17</v>
      </c>
      <c r="B17" s="15">
        <f>B8+B9+B10</f>
        <v>53.356814119358</v>
      </c>
      <c r="C17" s="16">
        <f>C8+C9+C10</f>
        <v>53.386676943230</v>
      </c>
      <c r="D17" s="16">
        <f>D8+D9+D10</f>
        <v>59.103760790391</v>
      </c>
      <c r="E17" s="16">
        <f>E8+E9+E10</f>
        <v>60.004948182488</v>
      </c>
    </row>
    <row r="18" ht="20.05" customHeight="1">
      <c r="A18" t="s" s="10">
        <v>18</v>
      </c>
      <c r="B18" s="15">
        <f>B16+B17</f>
        <v>744.056814119358</v>
      </c>
      <c r="C18" s="16">
        <f>C16+C17</f>
        <v>797.443491062588</v>
      </c>
      <c r="D18" s="16">
        <f>D16+D17</f>
        <v>856.547251852979</v>
      </c>
      <c r="E18" s="16">
        <f>E16+E17</f>
        <v>916.552200035467</v>
      </c>
    </row>
    <row r="19" ht="20.05" customHeight="1">
      <c r="A19" t="s" s="18">
        <v>19</v>
      </c>
      <c r="B19" s="15"/>
      <c r="C19" s="16"/>
      <c r="D19" s="19"/>
      <c r="E19" s="20"/>
    </row>
    <row r="20" ht="20.05" customHeight="1">
      <c r="A20" t="s" s="10">
        <v>20</v>
      </c>
      <c r="B20" s="15">
        <f>-AVERAGE('Sales'!E27)</f>
        <v>-34.6</v>
      </c>
      <c r="C20" s="16">
        <f>B20</f>
        <v>-34.6</v>
      </c>
      <c r="D20" s="16">
        <f>C20</f>
        <v>-34.6</v>
      </c>
      <c r="E20" s="16">
        <f>D20</f>
        <v>-34.6</v>
      </c>
    </row>
    <row r="21" ht="20.05" customHeight="1">
      <c r="A21" t="s" s="10">
        <v>19</v>
      </c>
      <c r="B21" s="15">
        <f>B5+B7+B20</f>
        <v>182.356047064528</v>
      </c>
      <c r="C21" s="16">
        <f>C5+C7+C20</f>
        <v>225.747256477433</v>
      </c>
      <c r="D21" s="16">
        <f>D5+D7+D20</f>
        <v>238.764619301305</v>
      </c>
      <c r="E21" s="16">
        <f>E5+E7+E20</f>
        <v>236.030973108292</v>
      </c>
    </row>
    <row r="22" ht="20.05" customHeight="1">
      <c r="A22" t="s" s="18">
        <v>21</v>
      </c>
      <c r="B22" s="15"/>
      <c r="C22" s="16"/>
      <c r="D22" s="19"/>
      <c r="E22" s="16"/>
    </row>
    <row r="23" ht="20.05" customHeight="1">
      <c r="A23" t="s" s="10">
        <v>22</v>
      </c>
      <c r="B23" s="15">
        <f>'Balance sheet'!E28+'Balance sheet'!F28-B9</f>
        <v>2976</v>
      </c>
      <c r="C23" s="16">
        <f>B23-C9</f>
        <v>2988.7</v>
      </c>
      <c r="D23" s="16">
        <f>C23-D9</f>
        <v>3001.4</v>
      </c>
      <c r="E23" s="16">
        <f>D23-E9</f>
        <v>3014.1</v>
      </c>
    </row>
    <row r="24" ht="20.05" customHeight="1">
      <c r="A24" t="s" s="10">
        <v>23</v>
      </c>
      <c r="B24" s="15">
        <f>'Balance sheet'!F28-B20</f>
        <v>1712.6</v>
      </c>
      <c r="C24" s="16">
        <f>B24-C20</f>
        <v>1747.2</v>
      </c>
      <c r="D24" s="16">
        <f>C24-D20</f>
        <v>1781.8</v>
      </c>
      <c r="E24" s="16">
        <f>D24-E20</f>
        <v>1816.4</v>
      </c>
    </row>
    <row r="25" ht="20.05" customHeight="1">
      <c r="A25" t="s" s="10">
        <v>24</v>
      </c>
      <c r="B25" s="15">
        <f>B23-B24</f>
        <v>1263.4</v>
      </c>
      <c r="C25" s="16">
        <f>C23-C24</f>
        <v>1241.5</v>
      </c>
      <c r="D25" s="16">
        <f>D23-D24</f>
        <v>1219.6</v>
      </c>
      <c r="E25" s="16">
        <f>E23-E24</f>
        <v>1197.7</v>
      </c>
    </row>
    <row r="26" ht="20.05" customHeight="1">
      <c r="A26" t="s" s="10">
        <v>11</v>
      </c>
      <c r="B26" s="15">
        <f>'Balance sheet'!G28+B11</f>
        <v>724.75</v>
      </c>
      <c r="C26" s="16">
        <f>B26+C11</f>
        <v>688.5125</v>
      </c>
      <c r="D26" s="16">
        <f>C26+D11</f>
        <v>654.086875</v>
      </c>
      <c r="E26" s="16">
        <f>D26+E11</f>
        <v>621.3825312500001</v>
      </c>
    </row>
    <row r="27" ht="20.05" customHeight="1">
      <c r="A27" t="s" s="10">
        <v>12</v>
      </c>
      <c r="B27" s="15">
        <f>B12</f>
        <v>0</v>
      </c>
      <c r="C27" s="16">
        <f>B27+C12</f>
        <v>0</v>
      </c>
      <c r="D27" s="16">
        <f>C27+D12</f>
        <v>0</v>
      </c>
      <c r="E27" s="16">
        <f>D27+E12</f>
        <v>0</v>
      </c>
    </row>
    <row r="28" ht="20.05" customHeight="1">
      <c r="A28" t="s" s="10">
        <v>14</v>
      </c>
      <c r="B28" s="15">
        <f>'Balance sheet'!H28+B21+B14</f>
        <v>1282.706814119360</v>
      </c>
      <c r="C28" s="16">
        <f>B28+C21+C14</f>
        <v>1350.430991062590</v>
      </c>
      <c r="D28" s="16">
        <f>C28+D21+D14</f>
        <v>1422.060376852980</v>
      </c>
      <c r="E28" s="16">
        <f>D28+E21+E14</f>
        <v>1492.869668785470</v>
      </c>
    </row>
    <row r="29" ht="20.05" customHeight="1">
      <c r="A29" t="s" s="10">
        <v>25</v>
      </c>
      <c r="B29" s="15">
        <f>B26+B27+B28-B18-B25</f>
        <v>2e-12</v>
      </c>
      <c r="C29" s="16">
        <f>C26+C27+C28-C18-C25</f>
        <v>2e-12</v>
      </c>
      <c r="D29" s="16">
        <f>D26+D27+D28-D18-D25</f>
        <v>1e-12</v>
      </c>
      <c r="E29" s="16">
        <f>E26+E27+E28-E18-E25</f>
        <v>3e-12</v>
      </c>
    </row>
    <row r="30" ht="20.05" customHeight="1">
      <c r="A30" t="s" s="10">
        <v>26</v>
      </c>
      <c r="B30" s="15">
        <f>B18-B26-B27</f>
        <v>19.306814119358</v>
      </c>
      <c r="C30" s="16">
        <f>C18-C26-C27</f>
        <v>108.930991062588</v>
      </c>
      <c r="D30" s="16">
        <f>D18-D26-D27</f>
        <v>202.460376852979</v>
      </c>
      <c r="E30" s="16">
        <f>E18-E26-E27</f>
        <v>295.169668785467</v>
      </c>
    </row>
    <row r="31" ht="20.05" customHeight="1">
      <c r="A31" t="s" s="18">
        <v>27</v>
      </c>
      <c r="B31" s="15"/>
      <c r="C31" s="16"/>
      <c r="D31" s="16"/>
      <c r="E31" s="16"/>
    </row>
    <row r="32" ht="20.05" customHeight="1">
      <c r="A32" t="s" s="10">
        <v>28</v>
      </c>
      <c r="B32" s="15"/>
      <c r="C32" s="16"/>
      <c r="D32" s="16"/>
      <c r="E32" s="16">
        <v>14</v>
      </c>
    </row>
    <row r="33" ht="20.05" customHeight="1">
      <c r="A33" t="s" s="10">
        <v>29</v>
      </c>
      <c r="B33" s="15">
        <f>'Cashflow '!M28-B10</f>
        <v>948.399232945170</v>
      </c>
      <c r="C33" s="16">
        <f>B33-C10</f>
        <v>1142.659812479370</v>
      </c>
      <c r="D33" s="16">
        <f>C33-D10</f>
        <v>1344.220670990280</v>
      </c>
      <c r="E33" s="16">
        <f>D33-E10</f>
        <v>1542.146695916080</v>
      </c>
    </row>
    <row r="34" ht="20.05" customHeight="1">
      <c r="A34" t="s" s="10">
        <v>30</v>
      </c>
      <c r="B34" s="15"/>
      <c r="C34" s="16"/>
      <c r="D34" s="16"/>
      <c r="E34" s="16">
        <v>31690584000000</v>
      </c>
    </row>
    <row r="35" ht="20.05" customHeight="1">
      <c r="A35" t="s" s="10">
        <v>30</v>
      </c>
      <c r="B35" s="15"/>
      <c r="C35" s="16"/>
      <c r="D35" s="16"/>
      <c r="E35" s="16">
        <f>27410/E32</f>
        <v>1957.857142857140</v>
      </c>
    </row>
    <row r="36" ht="20.05" customHeight="1">
      <c r="A36" t="s" s="10">
        <v>31</v>
      </c>
      <c r="B36" s="15"/>
      <c r="C36" s="16"/>
      <c r="D36" s="16"/>
      <c r="E36" s="21">
        <f>E35/(E18+E25)</f>
        <v>0.926028192296215</v>
      </c>
    </row>
    <row r="37" ht="20.05" customHeight="1">
      <c r="A37" t="s" s="10">
        <v>32</v>
      </c>
      <c r="B37" s="15"/>
      <c r="C37" s="16"/>
      <c r="D37" s="16"/>
      <c r="E37" s="22">
        <f>-(B14+C14+D14+E14)/E35</f>
        <v>0.315666150321973</v>
      </c>
    </row>
    <row r="38" ht="20.05" customHeight="1">
      <c r="A38" t="s" s="10">
        <v>33</v>
      </c>
      <c r="B38" s="15"/>
      <c r="C38" s="16"/>
      <c r="D38" s="16"/>
      <c r="E38" s="16">
        <f>SUM(B8:E9)</f>
        <v>970.498895951558</v>
      </c>
    </row>
    <row r="39" ht="20.05" customHeight="1">
      <c r="A39" t="s" s="10">
        <v>34</v>
      </c>
      <c r="B39" s="15"/>
      <c r="C39" s="16"/>
      <c r="D39" s="16"/>
      <c r="E39" s="16">
        <f>'Balance sheet'!E28/E38</f>
        <v>1.32437038863376</v>
      </c>
    </row>
    <row r="40" ht="20.05" customHeight="1">
      <c r="A40" t="s" s="10">
        <v>27</v>
      </c>
      <c r="B40" s="15"/>
      <c r="C40" s="16"/>
      <c r="D40" s="16"/>
      <c r="E40" s="16">
        <f>E35/E38</f>
        <v>2.01737183939554</v>
      </c>
    </row>
    <row r="41" ht="20.05" customHeight="1">
      <c r="A41" t="s" s="10">
        <v>35</v>
      </c>
      <c r="B41" s="15"/>
      <c r="C41" s="16"/>
      <c r="D41" s="16"/>
      <c r="E41" s="16">
        <v>6</v>
      </c>
    </row>
    <row r="42" ht="20.05" customHeight="1">
      <c r="A42" t="s" s="10">
        <v>36</v>
      </c>
      <c r="B42" s="15"/>
      <c r="C42" s="16"/>
      <c r="D42" s="16"/>
      <c r="E42" s="16">
        <f>E38*E41</f>
        <v>5822.993375709350</v>
      </c>
    </row>
    <row r="43" ht="20.05" customHeight="1">
      <c r="A43" t="s" s="10">
        <v>37</v>
      </c>
      <c r="B43" s="15"/>
      <c r="C43" s="16"/>
      <c r="D43" s="16"/>
      <c r="E43" s="23">
        <f>(E34/1000000000)/E45</f>
        <v>1.09656</v>
      </c>
    </row>
    <row r="44" ht="20.05" customHeight="1">
      <c r="A44" t="s" s="10">
        <v>38</v>
      </c>
      <c r="B44" s="15"/>
      <c r="C44" s="16"/>
      <c r="D44" s="16"/>
      <c r="E44" s="16">
        <f>(E42/E43)*E32</f>
        <v>74343.3166082393</v>
      </c>
    </row>
    <row r="45" ht="20.05" customHeight="1">
      <c r="A45" t="s" s="10">
        <v>39</v>
      </c>
      <c r="B45" s="15"/>
      <c r="C45" s="16"/>
      <c r="D45" s="16"/>
      <c r="E45" s="16">
        <v>28900</v>
      </c>
    </row>
    <row r="46" ht="20.05" customHeight="1">
      <c r="A46" t="s" s="10">
        <v>40</v>
      </c>
      <c r="B46" s="15"/>
      <c r="C46" s="16"/>
      <c r="D46" s="16"/>
      <c r="E46" s="22">
        <f>E44/E45-1</f>
        <v>1.57243310063112</v>
      </c>
    </row>
    <row r="47" ht="20.05" customHeight="1">
      <c r="A47" t="s" s="10">
        <v>41</v>
      </c>
      <c r="B47" s="15"/>
      <c r="C47" s="16"/>
      <c r="D47" s="16"/>
      <c r="E47" s="22">
        <f>'Sales'!C27/'Sales'!C23-1</f>
        <v>1.25158339197748</v>
      </c>
    </row>
    <row r="48" ht="20.05" customHeight="1">
      <c r="A48" t="s" s="10">
        <v>42</v>
      </c>
      <c r="B48" s="15"/>
      <c r="C48" s="16"/>
      <c r="D48" s="16"/>
      <c r="E48" s="22">
        <f>'Sales'!F30/'Sales'!E30-1</f>
        <v>-0.0683992820429143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4" customWidth="1"/>
    <col min="2" max="10" width="9.67969" style="24" customWidth="1"/>
    <col min="11" max="16384" width="16.3516" style="24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5">
        <v>1</v>
      </c>
      <c r="C2" t="s" s="5">
        <v>5</v>
      </c>
      <c r="D2" t="s" s="5">
        <v>35</v>
      </c>
      <c r="E2" t="s" s="5">
        <v>43</v>
      </c>
      <c r="F2" t="s" s="5">
        <v>44</v>
      </c>
      <c r="G2" t="s" s="5">
        <v>45</v>
      </c>
      <c r="H2" t="s" s="5">
        <v>6</v>
      </c>
      <c r="I2" t="s" s="5">
        <v>6</v>
      </c>
      <c r="J2" t="s" s="5">
        <v>35</v>
      </c>
    </row>
    <row r="3" ht="20.25" customHeight="1">
      <c r="B3" s="25">
        <v>2016</v>
      </c>
      <c r="C3" s="26">
        <v>331</v>
      </c>
      <c r="D3" s="27"/>
      <c r="E3" s="27">
        <v>25.25</v>
      </c>
      <c r="F3" s="27">
        <v>23</v>
      </c>
      <c r="G3" s="9"/>
      <c r="H3" s="9">
        <f>(E3+F3-C3)/C3</f>
        <v>-0.854229607250755</v>
      </c>
      <c r="I3" s="9"/>
      <c r="J3" s="9"/>
    </row>
    <row r="4" ht="20.05" customHeight="1">
      <c r="B4" s="28"/>
      <c r="C4" s="15">
        <v>278.47</v>
      </c>
      <c r="D4" s="16"/>
      <c r="E4" s="16">
        <v>25.25</v>
      </c>
      <c r="F4" s="16">
        <v>13.48</v>
      </c>
      <c r="G4" s="12">
        <f>C4/C3-1</f>
        <v>-0.158700906344411</v>
      </c>
      <c r="H4" s="12">
        <f>(E4+F4-C4)/C4</f>
        <v>-0.860918590871548</v>
      </c>
      <c r="I4" s="12"/>
      <c r="J4" s="12"/>
    </row>
    <row r="5" ht="20.05" customHeight="1">
      <c r="B5" s="28"/>
      <c r="C5" s="15">
        <v>348.53</v>
      </c>
      <c r="D5" s="16"/>
      <c r="E5" s="16">
        <v>25.25</v>
      </c>
      <c r="F5" s="16">
        <v>33.52</v>
      </c>
      <c r="G5" s="12">
        <f>C5/C4-1</f>
        <v>0.251589040112041</v>
      </c>
      <c r="H5" s="12">
        <f>(E5+F5-C5)/C5</f>
        <v>-0.83137749978481</v>
      </c>
      <c r="I5" s="12"/>
      <c r="J5" s="12"/>
    </row>
    <row r="6" ht="20.05" customHeight="1">
      <c r="B6" s="28"/>
      <c r="C6" s="15">
        <v>410</v>
      </c>
      <c r="D6" s="16"/>
      <c r="E6" s="16">
        <v>25.25</v>
      </c>
      <c r="F6" s="16">
        <v>61</v>
      </c>
      <c r="G6" s="12">
        <f>C6/C5-1</f>
        <v>0.176369322583422</v>
      </c>
      <c r="H6" s="12">
        <f>(E6+F6-C6)/C6</f>
        <v>-0.789634146341463</v>
      </c>
      <c r="I6" s="12"/>
      <c r="J6" s="12"/>
    </row>
    <row r="7" ht="20.05" customHeight="1">
      <c r="B7" s="29">
        <v>2017</v>
      </c>
      <c r="C7" s="15">
        <v>368</v>
      </c>
      <c r="D7" s="16"/>
      <c r="E7" s="16">
        <v>24.5</v>
      </c>
      <c r="F7" s="16">
        <v>57</v>
      </c>
      <c r="G7" s="12">
        <f>C7/C6-1</f>
        <v>-0.102439024390244</v>
      </c>
      <c r="H7" s="12">
        <f>(E7+F7-C7)/C7</f>
        <v>-0.778532608695652</v>
      </c>
      <c r="I7" s="12"/>
      <c r="J7" s="12"/>
    </row>
    <row r="8" ht="20.05" customHeight="1">
      <c r="B8" s="28"/>
      <c r="C8" s="15">
        <v>380.7</v>
      </c>
      <c r="D8" s="16"/>
      <c r="E8" s="16">
        <v>24.5</v>
      </c>
      <c r="F8" s="16">
        <v>48.29</v>
      </c>
      <c r="G8" s="12">
        <f>C8/C7-1</f>
        <v>0.0345108695652174</v>
      </c>
      <c r="H8" s="12">
        <f>(E8+F8-C8)/C8</f>
        <v>-0.808799579721566</v>
      </c>
      <c r="I8" s="12"/>
      <c r="J8" s="12"/>
    </row>
    <row r="9" ht="20.05" customHeight="1">
      <c r="B9" s="28"/>
      <c r="C9" s="15">
        <v>415.3</v>
      </c>
      <c r="D9" s="16"/>
      <c r="E9" s="16">
        <v>24.5</v>
      </c>
      <c r="F9" s="16">
        <v>66.70999999999999</v>
      </c>
      <c r="G9" s="12">
        <f>C9/C8-1</f>
        <v>0.09088521145258729</v>
      </c>
      <c r="H9" s="12">
        <f>(E9+F9-C9)/C9</f>
        <v>-0.7803756320732</v>
      </c>
      <c r="I9" s="12"/>
      <c r="J9" s="12"/>
    </row>
    <row r="10" ht="20.05" customHeight="1">
      <c r="B10" s="28"/>
      <c r="C10" s="15">
        <v>526</v>
      </c>
      <c r="D10" s="16"/>
      <c r="E10" s="16">
        <v>24.5</v>
      </c>
      <c r="F10" s="16">
        <v>81</v>
      </c>
      <c r="G10" s="12">
        <f>C10/C9-1</f>
        <v>0.266554298097761</v>
      </c>
      <c r="H10" s="12">
        <f>(E10+F10-C10)/C10</f>
        <v>-0.799429657794677</v>
      </c>
      <c r="I10" s="12"/>
      <c r="J10" s="12"/>
    </row>
    <row r="11" ht="20.05" customHeight="1">
      <c r="B11" s="29">
        <v>2018</v>
      </c>
      <c r="C11" s="15">
        <v>378</v>
      </c>
      <c r="D11" s="16"/>
      <c r="E11" s="16">
        <v>25</v>
      </c>
      <c r="F11" s="16">
        <v>58</v>
      </c>
      <c r="G11" s="12">
        <f>C11/C10-1</f>
        <v>-0.281368821292776</v>
      </c>
      <c r="H11" s="12">
        <f>(E11+F11-C11)/C11</f>
        <v>-0.78042328042328</v>
      </c>
      <c r="I11" s="12">
        <f>AVERAGE(H8:H11)</f>
        <v>-0.792257037503181</v>
      </c>
      <c r="J11" s="12"/>
    </row>
    <row r="12" ht="20.05" customHeight="1">
      <c r="B12" s="28"/>
      <c r="C12" s="15">
        <v>430.89</v>
      </c>
      <c r="D12" s="16"/>
      <c r="E12" s="16">
        <v>25</v>
      </c>
      <c r="F12" s="16">
        <v>44.5</v>
      </c>
      <c r="G12" s="12">
        <f>C12/C11-1</f>
        <v>0.139920634920635</v>
      </c>
      <c r="H12" s="12">
        <f>(E12+F12-C12)/C12</f>
        <v>-0.838705934229154</v>
      </c>
      <c r="I12" s="12">
        <f>AVERAGE(H9:H12)</f>
        <v>-0.799733626130078</v>
      </c>
      <c r="J12" s="12"/>
    </row>
    <row r="13" ht="20.05" customHeight="1">
      <c r="B13" s="28"/>
      <c r="C13" s="15">
        <v>606.3</v>
      </c>
      <c r="D13" s="16"/>
      <c r="E13" s="16">
        <v>25</v>
      </c>
      <c r="F13" s="16">
        <v>94.5</v>
      </c>
      <c r="G13" s="12">
        <f>C13/C12-1</f>
        <v>0.407087655782218</v>
      </c>
      <c r="H13" s="12">
        <f>(E13+F13-C13)/C13</f>
        <v>-0.802902853372918</v>
      </c>
      <c r="I13" s="12">
        <f>AVERAGE(H10:H13)</f>
        <v>-0.8053654314550071</v>
      </c>
      <c r="J13" s="12"/>
    </row>
    <row r="14" ht="20.05" customHeight="1">
      <c r="B14" s="28"/>
      <c r="C14" s="15">
        <v>592.8099999999999</v>
      </c>
      <c r="D14" s="16"/>
      <c r="E14" s="16">
        <v>25</v>
      </c>
      <c r="F14" s="16">
        <v>62</v>
      </c>
      <c r="G14" s="12">
        <f>C14/C13-1</f>
        <v>-0.0222497113640112</v>
      </c>
      <c r="H14" s="12">
        <f>(E14+F14-C14)/C14</f>
        <v>-0.853241342082623</v>
      </c>
      <c r="I14" s="12">
        <f>AVERAGE(H11:H14)</f>
        <v>-0.818818352526994</v>
      </c>
      <c r="J14" s="12"/>
    </row>
    <row r="15" ht="20.05" customHeight="1">
      <c r="B15" s="29">
        <v>2019</v>
      </c>
      <c r="C15" s="15">
        <v>453</v>
      </c>
      <c r="D15" s="16"/>
      <c r="E15" s="16">
        <v>52.75</v>
      </c>
      <c r="F15" s="16">
        <v>39</v>
      </c>
      <c r="G15" s="12">
        <f>C15/C14-1</f>
        <v>-0.23584285015435</v>
      </c>
      <c r="H15" s="12">
        <f>(E15+F15-C15)/C15</f>
        <v>-0.797461368653422</v>
      </c>
      <c r="I15" s="12">
        <f>AVERAGE(H12:H15)</f>
        <v>-0.823077874584529</v>
      </c>
      <c r="J15" s="12"/>
    </row>
    <row r="16" ht="20.05" customHeight="1">
      <c r="B16" s="28"/>
      <c r="C16" s="15">
        <v>439.7</v>
      </c>
      <c r="D16" s="16"/>
      <c r="E16" s="16">
        <v>52.75</v>
      </c>
      <c r="F16" s="16">
        <v>30</v>
      </c>
      <c r="G16" s="12">
        <f>C16/C15-1</f>
        <v>-0.0293598233995585</v>
      </c>
      <c r="H16" s="12">
        <f>(E16+F16-C16)/C16</f>
        <v>-0.811803502387992</v>
      </c>
      <c r="I16" s="12">
        <f>AVERAGE(H13:H16)</f>
        <v>-0.816352266624239</v>
      </c>
      <c r="J16" s="12"/>
    </row>
    <row r="17" ht="20.05" customHeight="1">
      <c r="B17" s="28"/>
      <c r="C17" s="15">
        <v>412.1</v>
      </c>
      <c r="D17" s="16"/>
      <c r="E17" s="16">
        <v>52.75</v>
      </c>
      <c r="F17" s="16">
        <v>29.6</v>
      </c>
      <c r="G17" s="12">
        <f>C17/C16-1</f>
        <v>-0.0627700705026154</v>
      </c>
      <c r="H17" s="12">
        <f>(E17+F17-C17)/C17</f>
        <v>-0.800169861684057</v>
      </c>
      <c r="I17" s="12">
        <f>AVERAGE(H14:H17)</f>
        <v>-0.815669018702024</v>
      </c>
      <c r="J17" s="12"/>
    </row>
    <row r="18" ht="20.05" customHeight="1">
      <c r="B18" s="28"/>
      <c r="C18" s="15">
        <v>411.2</v>
      </c>
      <c r="D18" s="16"/>
      <c r="E18" s="16">
        <v>52.75</v>
      </c>
      <c r="F18" s="16">
        <v>28.4</v>
      </c>
      <c r="G18" s="12">
        <f>C18/C17-1</f>
        <v>-0.00218393593787916</v>
      </c>
      <c r="H18" s="12">
        <f>(E18+F18-C18)/C18</f>
        <v>-0.802650778210117</v>
      </c>
      <c r="I18" s="12">
        <f>AVERAGE(H15:H18)</f>
        <v>-0.803021377733897</v>
      </c>
      <c r="J18" s="12"/>
    </row>
    <row r="19" ht="20.05" customHeight="1">
      <c r="B19" s="29">
        <v>2020</v>
      </c>
      <c r="C19" s="15">
        <v>365.9</v>
      </c>
      <c r="D19" s="16"/>
      <c r="E19" s="16">
        <v>50</v>
      </c>
      <c r="F19" s="16">
        <v>14.4</v>
      </c>
      <c r="G19" s="12">
        <f>C19/C18-1</f>
        <v>-0.110165369649805</v>
      </c>
      <c r="H19" s="12">
        <f>(E19+F19-C19)/C19</f>
        <v>-0.823995627220552</v>
      </c>
      <c r="I19" s="12">
        <f>AVERAGE(H16:H19)</f>
        <v>-0.80965494237568</v>
      </c>
      <c r="J19" s="12"/>
    </row>
    <row r="20" ht="20.05" customHeight="1">
      <c r="B20" s="28"/>
      <c r="C20" s="15">
        <v>286.7</v>
      </c>
      <c r="D20" s="16"/>
      <c r="E20" s="16">
        <v>50</v>
      </c>
      <c r="F20" s="16">
        <v>14.1</v>
      </c>
      <c r="G20" s="12">
        <f>C20/C19-1</f>
        <v>-0.216452582672861</v>
      </c>
      <c r="H20" s="12">
        <f>(E20+F20-C20)/C20</f>
        <v>-0.776421346355075</v>
      </c>
      <c r="I20" s="12">
        <f>AVERAGE(H17:H20)</f>
        <v>-0.80080940336745</v>
      </c>
      <c r="J20" s="12"/>
    </row>
    <row r="21" ht="20.05" customHeight="1">
      <c r="B21" s="28"/>
      <c r="C21" s="15">
        <v>219.3</v>
      </c>
      <c r="D21" s="16"/>
      <c r="E21" s="16">
        <v>50</v>
      </c>
      <c r="F21" s="16">
        <v>10.1</v>
      </c>
      <c r="G21" s="12">
        <f>C21/C20-1</f>
        <v>-0.235088943146146</v>
      </c>
      <c r="H21" s="12">
        <f>(E21+F21-C21)/C21</f>
        <v>-0.725946192430461</v>
      </c>
      <c r="I21" s="12">
        <f>AVERAGE(H18:H21)</f>
        <v>-0.782253486054051</v>
      </c>
      <c r="J21" s="12"/>
    </row>
    <row r="22" ht="20.05" customHeight="1">
      <c r="B22" s="28"/>
      <c r="C22" s="15">
        <f>1185.3-SUM(C19:C21)</f>
        <v>313.4</v>
      </c>
      <c r="D22" s="16">
        <v>296.055</v>
      </c>
      <c r="E22" s="16">
        <v>50</v>
      </c>
      <c r="F22" s="16">
        <f>37.8-SUM(F19:F21)</f>
        <v>-0.8</v>
      </c>
      <c r="G22" s="12">
        <f>C22/C21-1</f>
        <v>0.429092567259462</v>
      </c>
      <c r="H22" s="12">
        <f>(E22+F22-C22)/C22</f>
        <v>-0.84301212507977</v>
      </c>
      <c r="I22" s="12">
        <f>AVERAGE(H19:H22)</f>
        <v>-0.792343822771465</v>
      </c>
      <c r="J22" s="12"/>
    </row>
    <row r="23" ht="20.05" customHeight="1">
      <c r="B23" s="29">
        <v>2021</v>
      </c>
      <c r="C23" s="15">
        <v>284.2</v>
      </c>
      <c r="D23" s="16">
        <v>329.07</v>
      </c>
      <c r="E23" s="16">
        <f>18+21.9</f>
        <v>39.9</v>
      </c>
      <c r="F23" s="16">
        <v>42</v>
      </c>
      <c r="G23" s="12">
        <f>C23/C22-1</f>
        <v>-0.0931716656030632</v>
      </c>
      <c r="H23" s="12">
        <f>(E23+F23-C23)/C23</f>
        <v>-0.711822660098522</v>
      </c>
      <c r="I23" s="12">
        <f>AVERAGE(H20:H23)</f>
        <v>-0.764300580990957</v>
      </c>
      <c r="J23" s="12"/>
    </row>
    <row r="24" ht="20.05" customHeight="1">
      <c r="B24" s="28"/>
      <c r="C24" s="15">
        <f>676.3-C23</f>
        <v>392.1</v>
      </c>
      <c r="D24" s="16">
        <v>315.462</v>
      </c>
      <c r="E24" s="16">
        <f>34.2+46.6-E23</f>
        <v>40.9</v>
      </c>
      <c r="F24" s="16">
        <f>117.6-F23</f>
        <v>75.59999999999999</v>
      </c>
      <c r="G24" s="12">
        <f>C24/C23-1</f>
        <v>0.379662209711471</v>
      </c>
      <c r="H24" s="12">
        <f>(E24+F24-C24)/C24</f>
        <v>-0.702881917878092</v>
      </c>
      <c r="I24" s="12">
        <f>AVERAGE(H21:H24)</f>
        <v>-0.745915723871711</v>
      </c>
      <c r="J24" s="12"/>
    </row>
    <row r="25" ht="20.05" customHeight="1">
      <c r="B25" s="28"/>
      <c r="C25" s="15">
        <f>1323.3-SUM(C23:C24)</f>
        <v>647</v>
      </c>
      <c r="D25" s="16">
        <v>380.337</v>
      </c>
      <c r="E25" s="16">
        <f>49.9+81.4-SUM(E23:E24)</f>
        <v>50.5</v>
      </c>
      <c r="F25" s="16">
        <f>271.5-SUM(F23:F24)</f>
        <v>153.9</v>
      </c>
      <c r="G25" s="12">
        <f>C25/C24-1</f>
        <v>0.650089262943127</v>
      </c>
      <c r="H25" s="12">
        <f>(E25+F25-C25)/C25</f>
        <v>-0.684080370942813</v>
      </c>
      <c r="I25" s="12">
        <f>AVERAGE(H22:H25)</f>
        <v>-0.735449268499799</v>
      </c>
      <c r="J25" s="12"/>
    </row>
    <row r="26" ht="20.05" customHeight="1">
      <c r="B26" s="28"/>
      <c r="C26" s="15">
        <f>2076.8-SUM(C23:C24)</f>
        <v>1400.5</v>
      </c>
      <c r="D26" s="16">
        <v>718.17</v>
      </c>
      <c r="E26" s="16">
        <f>64.6+113.5-SUM(E23:E25)</f>
        <v>46.8</v>
      </c>
      <c r="F26" s="16">
        <f>475.4-SUM(F23:F25)</f>
        <v>203.9</v>
      </c>
      <c r="G26" s="12">
        <f>C26/C25-1</f>
        <v>1.16460587326121</v>
      </c>
      <c r="H26" s="12">
        <f>(E26+F26-C26)/C26</f>
        <v>-0.820992502677615</v>
      </c>
      <c r="I26" s="12">
        <f>AVERAGE(H23:H26)</f>
        <v>-0.729944362899261</v>
      </c>
      <c r="J26" s="12"/>
    </row>
    <row r="27" ht="20.05" customHeight="1">
      <c r="B27" s="29">
        <v>2022</v>
      </c>
      <c r="C27" s="15">
        <v>639.9</v>
      </c>
      <c r="D27" s="16">
        <v>1386.495</v>
      </c>
      <c r="E27" s="16">
        <f>15.6+19</f>
        <v>34.6</v>
      </c>
      <c r="F27" s="16">
        <v>213.2</v>
      </c>
      <c r="G27" s="12">
        <f>C27/C26-1</f>
        <v>-0.543091752945377</v>
      </c>
      <c r="H27" s="12">
        <f>(E27+F27-C27)/C27</f>
        <v>-0.6127519924988279</v>
      </c>
      <c r="I27" s="12">
        <f>AVERAGE(H24:H27)</f>
        <v>-0.705176695999337</v>
      </c>
      <c r="J27" s="12">
        <v>-0.729944362899261</v>
      </c>
    </row>
    <row r="28" ht="20.05" customHeight="1">
      <c r="B28" s="28"/>
      <c r="C28" s="15"/>
      <c r="D28" s="16">
        <f>'Model'!B5</f>
        <v>735.885</v>
      </c>
      <c r="E28" s="16"/>
      <c r="F28" s="16"/>
      <c r="G28" s="12"/>
      <c r="H28" s="20"/>
      <c r="I28" s="20"/>
      <c r="J28" s="12">
        <f>'Model'!B6</f>
        <v>-0.705176695999337</v>
      </c>
    </row>
    <row r="29" ht="20.05" customHeight="1">
      <c r="B29" s="28"/>
      <c r="C29" s="15"/>
      <c r="D29" s="16">
        <f>'Model'!C5</f>
        <v>883.062</v>
      </c>
      <c r="E29" s="16"/>
      <c r="F29" s="16"/>
      <c r="G29" s="12"/>
      <c r="H29" s="12"/>
      <c r="I29" s="12"/>
      <c r="J29" s="12"/>
    </row>
    <row r="30" ht="20.05" customHeight="1">
      <c r="B30" s="28"/>
      <c r="C30" s="30"/>
      <c r="D30" s="16">
        <f>'Model'!D5</f>
        <v>927.2151</v>
      </c>
      <c r="E30" s="16">
        <f>SUM(C22:C27)</f>
        <v>3677.1</v>
      </c>
      <c r="F30" s="16">
        <f>SUM(D22:D27)</f>
        <v>3425.589</v>
      </c>
      <c r="G30" s="12"/>
      <c r="H30" s="12"/>
      <c r="I30" s="12"/>
      <c r="J30" s="12"/>
    </row>
    <row r="31" ht="20.05" customHeight="1">
      <c r="B31" s="29">
        <v>2023</v>
      </c>
      <c r="C31" s="15"/>
      <c r="D31" s="16">
        <f>'Model'!E5</f>
        <v>917.942949</v>
      </c>
      <c r="E31" s="16"/>
      <c r="F31" s="16"/>
      <c r="G31" s="12"/>
      <c r="H31" s="12"/>
      <c r="I31" s="12"/>
      <c r="J31" s="12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B3:O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31" customWidth="1"/>
    <col min="2" max="15" width="9.5625" style="31" customWidth="1"/>
    <col min="16" max="16384" width="16.3516" style="31" customWidth="1"/>
  </cols>
  <sheetData>
    <row r="1" ht="13.8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6.75" customHeight="1">
      <c r="B3" t="s" s="5">
        <v>1</v>
      </c>
      <c r="C3" t="s" s="5">
        <v>46</v>
      </c>
      <c r="D3" t="s" s="5">
        <v>8</v>
      </c>
      <c r="E3" t="s" s="5">
        <v>9</v>
      </c>
      <c r="F3" t="s" s="5">
        <v>47</v>
      </c>
      <c r="G3" t="s" s="5">
        <v>11</v>
      </c>
      <c r="H3" t="s" s="5">
        <v>14</v>
      </c>
      <c r="I3" t="s" s="5">
        <v>10</v>
      </c>
      <c r="J3" t="s" s="5">
        <v>48</v>
      </c>
      <c r="K3" t="s" s="5">
        <v>33</v>
      </c>
      <c r="L3" t="s" s="5">
        <v>35</v>
      </c>
      <c r="M3" t="s" s="5">
        <v>29</v>
      </c>
      <c r="N3" t="s" s="5">
        <v>35</v>
      </c>
      <c r="O3" s="32"/>
    </row>
    <row r="4" ht="21.4" customHeight="1">
      <c r="B4" s="25">
        <v>2016</v>
      </c>
      <c r="C4" s="26">
        <v>350</v>
      </c>
      <c r="D4" s="27">
        <v>34</v>
      </c>
      <c r="E4" s="27">
        <v>-7</v>
      </c>
      <c r="F4" s="33"/>
      <c r="G4" s="27"/>
      <c r="H4" s="27"/>
      <c r="I4" s="27">
        <v>-1</v>
      </c>
      <c r="J4" s="33">
        <f>D4+E4+F4</f>
        <v>27</v>
      </c>
      <c r="K4" s="33"/>
      <c r="L4" s="27"/>
      <c r="M4" s="27">
        <f>-(I4-F4)</f>
        <v>1</v>
      </c>
      <c r="N4" s="27"/>
      <c r="O4" s="27">
        <v>1</v>
      </c>
    </row>
    <row r="5" ht="21.2" customHeight="1">
      <c r="B5" s="28"/>
      <c r="C5" s="15">
        <v>289</v>
      </c>
      <c r="D5" s="16">
        <v>1</v>
      </c>
      <c r="E5" s="16">
        <v>-6</v>
      </c>
      <c r="F5" s="34"/>
      <c r="G5" s="16"/>
      <c r="H5" s="16"/>
      <c r="I5" s="16">
        <v>-23</v>
      </c>
      <c r="J5" s="34">
        <f>D5+E5+F5</f>
        <v>-5</v>
      </c>
      <c r="K5" s="34"/>
      <c r="L5" s="16"/>
      <c r="M5" s="16">
        <f>-(I5-F5)+M4</f>
        <v>24</v>
      </c>
      <c r="N5" s="16"/>
      <c r="O5" s="16">
        <f>1+O4</f>
        <v>2</v>
      </c>
    </row>
    <row r="6" ht="21.2" customHeight="1">
      <c r="B6" s="28"/>
      <c r="C6" s="15">
        <v>317</v>
      </c>
      <c r="D6" s="16">
        <v>11</v>
      </c>
      <c r="E6" s="16">
        <v>-9</v>
      </c>
      <c r="F6" s="34"/>
      <c r="G6" s="16"/>
      <c r="H6" s="16"/>
      <c r="I6" s="16">
        <v>0</v>
      </c>
      <c r="J6" s="34">
        <f>D6+E6+F6</f>
        <v>2</v>
      </c>
      <c r="K6" s="34"/>
      <c r="L6" s="16"/>
      <c r="M6" s="16">
        <f>-(I6-F6)+M5</f>
        <v>24</v>
      </c>
      <c r="N6" s="16"/>
      <c r="O6" s="16">
        <f>1+O5</f>
        <v>3</v>
      </c>
    </row>
    <row r="7" ht="21.2" customHeight="1">
      <c r="B7" s="28"/>
      <c r="C7" s="15">
        <v>398</v>
      </c>
      <c r="D7" s="16">
        <v>99</v>
      </c>
      <c r="E7" s="16">
        <v>-3</v>
      </c>
      <c r="F7" s="34"/>
      <c r="G7" s="16"/>
      <c r="H7" s="16"/>
      <c r="I7" s="16">
        <v>-37</v>
      </c>
      <c r="J7" s="34">
        <f>D7+E7+F7</f>
        <v>96</v>
      </c>
      <c r="K7" s="34"/>
      <c r="L7" s="16"/>
      <c r="M7" s="16">
        <f>-(I7-F7)+M6</f>
        <v>61</v>
      </c>
      <c r="N7" s="16"/>
      <c r="O7" s="16">
        <f>1+O6</f>
        <v>4</v>
      </c>
    </row>
    <row r="8" ht="21.2" customHeight="1">
      <c r="B8" s="29">
        <v>2017</v>
      </c>
      <c r="C8" s="15">
        <v>357</v>
      </c>
      <c r="D8" s="16">
        <v>88</v>
      </c>
      <c r="E8" s="16">
        <v>-12</v>
      </c>
      <c r="F8" s="34"/>
      <c r="G8" s="16"/>
      <c r="H8" s="16"/>
      <c r="I8" s="16">
        <v>0</v>
      </c>
      <c r="J8" s="34">
        <f>D8+E8+F8</f>
        <v>76</v>
      </c>
      <c r="K8" s="34">
        <f>AVERAGE(J5:J8)</f>
        <v>42.25</v>
      </c>
      <c r="L8" s="16"/>
      <c r="M8" s="16">
        <f>-(I8-F8)+M7</f>
        <v>61</v>
      </c>
      <c r="N8" s="16"/>
      <c r="O8" s="16">
        <f>1+O7</f>
        <v>5</v>
      </c>
    </row>
    <row r="9" ht="21.2" customHeight="1">
      <c r="B9" s="28"/>
      <c r="C9" s="15">
        <v>395</v>
      </c>
      <c r="D9" s="16">
        <v>60</v>
      </c>
      <c r="E9" s="16">
        <v>-1</v>
      </c>
      <c r="F9" s="34"/>
      <c r="G9" s="16"/>
      <c r="H9" s="16"/>
      <c r="I9" s="16">
        <v>-94</v>
      </c>
      <c r="J9" s="34">
        <f>D9+E9+F9</f>
        <v>59</v>
      </c>
      <c r="K9" s="34">
        <f>AVERAGE(J6:J9)</f>
        <v>58.25</v>
      </c>
      <c r="L9" s="16"/>
      <c r="M9" s="16">
        <f>-(I9-F9)+M8</f>
        <v>155</v>
      </c>
      <c r="N9" s="16"/>
      <c r="O9" s="16">
        <f>1+O8</f>
        <v>6</v>
      </c>
    </row>
    <row r="10" ht="21.2" customHeight="1">
      <c r="B10" s="28"/>
      <c r="C10" s="15">
        <v>386</v>
      </c>
      <c r="D10" s="16">
        <v>73</v>
      </c>
      <c r="E10" s="16">
        <v>-40</v>
      </c>
      <c r="F10" s="34"/>
      <c r="G10" s="16"/>
      <c r="H10" s="16"/>
      <c r="I10" s="16">
        <v>0</v>
      </c>
      <c r="J10" s="34">
        <f>D10+E10+F10</f>
        <v>33</v>
      </c>
      <c r="K10" s="34">
        <f>AVERAGE(J7:J10)</f>
        <v>66</v>
      </c>
      <c r="L10" s="16"/>
      <c r="M10" s="16">
        <f>-(I10-F10)+M9</f>
        <v>155</v>
      </c>
      <c r="N10" s="16"/>
      <c r="O10" s="16">
        <f>1+O9</f>
        <v>7</v>
      </c>
    </row>
    <row r="11" ht="21.2" customHeight="1">
      <c r="B11" s="28"/>
      <c r="C11" s="15">
        <v>500</v>
      </c>
      <c r="D11" s="16">
        <v>98</v>
      </c>
      <c r="E11" s="16">
        <v>-21</v>
      </c>
      <c r="F11" s="34"/>
      <c r="G11" s="16"/>
      <c r="H11" s="16"/>
      <c r="I11" s="16">
        <v>-105</v>
      </c>
      <c r="J11" s="34">
        <f>D11+E11+F11</f>
        <v>77</v>
      </c>
      <c r="K11" s="34">
        <f>AVERAGE(J8:J11)</f>
        <v>61.25</v>
      </c>
      <c r="L11" s="16"/>
      <c r="M11" s="16">
        <f>-(I11-F11)+M10</f>
        <v>260</v>
      </c>
      <c r="N11" s="16"/>
      <c r="O11" s="16">
        <f>1+O10</f>
        <v>8</v>
      </c>
    </row>
    <row r="12" ht="21.2" customHeight="1">
      <c r="B12" s="29">
        <v>2018</v>
      </c>
      <c r="C12" s="15">
        <v>410.7</v>
      </c>
      <c r="D12" s="16">
        <v>64.3</v>
      </c>
      <c r="E12" s="16">
        <v>-15.57</v>
      </c>
      <c r="F12" s="34"/>
      <c r="G12" s="16"/>
      <c r="H12" s="16"/>
      <c r="I12" s="16">
        <v>0</v>
      </c>
      <c r="J12" s="34">
        <f>D12+E12+F12</f>
        <v>48.73</v>
      </c>
      <c r="K12" s="34">
        <f>AVERAGE(J9:J12)</f>
        <v>54.4325</v>
      </c>
      <c r="L12" s="16"/>
      <c r="M12" s="16">
        <f>-(I12-F12)+M11</f>
        <v>260</v>
      </c>
      <c r="N12" s="16"/>
      <c r="O12" s="16">
        <f>1+O11</f>
        <v>9</v>
      </c>
    </row>
    <row r="13" ht="21.2" customHeight="1">
      <c r="B13" s="28"/>
      <c r="C13" s="15">
        <v>367</v>
      </c>
      <c r="D13" s="16">
        <v>28.9</v>
      </c>
      <c r="E13" s="16">
        <v>-35.13</v>
      </c>
      <c r="F13" s="34"/>
      <c r="G13" s="16"/>
      <c r="H13" s="16"/>
      <c r="I13" s="16">
        <v>-146.8</v>
      </c>
      <c r="J13" s="34">
        <f>D13+E13+F13</f>
        <v>-6.23</v>
      </c>
      <c r="K13" s="34">
        <f>AVERAGE(J10:J13)</f>
        <v>38.125</v>
      </c>
      <c r="L13" s="16"/>
      <c r="M13" s="16">
        <f>-(I13-F13)+M12</f>
        <v>406.8</v>
      </c>
      <c r="N13" s="16"/>
      <c r="O13" s="16">
        <f>1+O12</f>
        <v>10</v>
      </c>
    </row>
    <row r="14" ht="21.2" customHeight="1">
      <c r="B14" s="28"/>
      <c r="C14" s="15">
        <v>585.55</v>
      </c>
      <c r="D14" s="16">
        <v>120.8</v>
      </c>
      <c r="E14" s="16">
        <v>-34.3</v>
      </c>
      <c r="F14" s="34"/>
      <c r="G14" s="16"/>
      <c r="H14" s="16"/>
      <c r="I14" s="16">
        <v>-0.07000000000000001</v>
      </c>
      <c r="J14" s="34">
        <f>D14+E14+F14</f>
        <v>86.5</v>
      </c>
      <c r="K14" s="34">
        <f>AVERAGE(J11:J14)</f>
        <v>51.5</v>
      </c>
      <c r="L14" s="16"/>
      <c r="M14" s="16">
        <f>-(I14-F14)+M13</f>
        <v>406.87</v>
      </c>
      <c r="N14" s="16"/>
      <c r="O14" s="16">
        <f>1+O13</f>
        <v>11</v>
      </c>
    </row>
    <row r="15" ht="21.2" customHeight="1">
      <c r="B15" s="28"/>
      <c r="C15" s="15">
        <v>607.75</v>
      </c>
      <c r="D15" s="16">
        <v>141</v>
      </c>
      <c r="E15" s="16">
        <v>-24</v>
      </c>
      <c r="F15" s="34"/>
      <c r="G15" s="16"/>
      <c r="H15" s="16"/>
      <c r="I15" s="16">
        <v>-102.13</v>
      </c>
      <c r="J15" s="34">
        <f>D15+E15+F15</f>
        <v>117</v>
      </c>
      <c r="K15" s="34">
        <f>AVERAGE(J12:J15)</f>
        <v>61.5</v>
      </c>
      <c r="L15" s="16"/>
      <c r="M15" s="16">
        <f>-(I15-F15)+M14</f>
        <v>509</v>
      </c>
      <c r="N15" s="16"/>
      <c r="O15" s="16">
        <f>1+O14</f>
        <v>12</v>
      </c>
    </row>
    <row r="16" ht="21.2" customHeight="1">
      <c r="B16" s="29">
        <v>2019</v>
      </c>
      <c r="C16" s="15">
        <v>513</v>
      </c>
      <c r="D16" s="16">
        <v>25</v>
      </c>
      <c r="E16" s="16">
        <v>-16</v>
      </c>
      <c r="F16" s="34"/>
      <c r="G16" s="16"/>
      <c r="H16" s="16"/>
      <c r="I16" s="16">
        <v>14</v>
      </c>
      <c r="J16" s="34">
        <f>D16+E16+F16</f>
        <v>9</v>
      </c>
      <c r="K16" s="34">
        <f>AVERAGE(J13:J16)</f>
        <v>51.5675</v>
      </c>
      <c r="L16" s="16"/>
      <c r="M16" s="16">
        <f>-(I16-F16)+M15</f>
        <v>495</v>
      </c>
      <c r="N16" s="16"/>
      <c r="O16" s="16">
        <f>1+O15</f>
        <v>13</v>
      </c>
    </row>
    <row r="17" ht="21.2" customHeight="1">
      <c r="B17" s="28"/>
      <c r="C17" s="15">
        <v>432</v>
      </c>
      <c r="D17" s="16">
        <v>90</v>
      </c>
      <c r="E17" s="16">
        <v>-26</v>
      </c>
      <c r="F17" s="34"/>
      <c r="G17" s="16"/>
      <c r="H17" s="16"/>
      <c r="I17" s="16">
        <v>-169</v>
      </c>
      <c r="J17" s="34">
        <f>D17+E17+F17</f>
        <v>64</v>
      </c>
      <c r="K17" s="34">
        <f>AVERAGE(J14:J17)</f>
        <v>69.125</v>
      </c>
      <c r="L17" s="16"/>
      <c r="M17" s="16">
        <f>-(I17-F17)+M16</f>
        <v>664</v>
      </c>
      <c r="N17" s="16"/>
      <c r="O17" s="16">
        <f>1+O16</f>
        <v>14</v>
      </c>
    </row>
    <row r="18" ht="21.2" customHeight="1">
      <c r="B18" s="28"/>
      <c r="C18" s="15">
        <v>435</v>
      </c>
      <c r="D18" s="16">
        <v>-14</v>
      </c>
      <c r="E18" s="16">
        <v>-9</v>
      </c>
      <c r="F18" s="34"/>
      <c r="G18" s="16"/>
      <c r="H18" s="16"/>
      <c r="I18" s="16">
        <v>7</v>
      </c>
      <c r="J18" s="34">
        <f>D18+E18+F18</f>
        <v>-23</v>
      </c>
      <c r="K18" s="34">
        <f>AVERAGE(J15:J18)</f>
        <v>41.75</v>
      </c>
      <c r="L18" s="16"/>
      <c r="M18" s="16">
        <f>-(I18-F18)+M17</f>
        <v>657</v>
      </c>
      <c r="N18" s="16"/>
      <c r="O18" s="16">
        <f>1+O17</f>
        <v>15</v>
      </c>
    </row>
    <row r="19" ht="21.2" customHeight="1">
      <c r="B19" s="28"/>
      <c r="C19" s="15">
        <v>419</v>
      </c>
      <c r="D19" s="16">
        <v>-11</v>
      </c>
      <c r="E19" s="16">
        <v>-45</v>
      </c>
      <c r="F19" s="34"/>
      <c r="G19" s="16"/>
      <c r="H19" s="16"/>
      <c r="I19" s="16">
        <v>-55</v>
      </c>
      <c r="J19" s="34">
        <f>D19+E19+F19</f>
        <v>-56</v>
      </c>
      <c r="K19" s="34">
        <f>AVERAGE(J16:J19)</f>
        <v>-1.5</v>
      </c>
      <c r="L19" s="16"/>
      <c r="M19" s="16">
        <f>-(I19-F19)+M18</f>
        <v>712</v>
      </c>
      <c r="N19" s="16"/>
      <c r="O19" s="16">
        <f>1+O18</f>
        <v>16</v>
      </c>
    </row>
    <row r="20" ht="21.2" customHeight="1">
      <c r="B20" s="29">
        <v>2020</v>
      </c>
      <c r="C20" s="15">
        <v>396</v>
      </c>
      <c r="D20" s="16">
        <v>98</v>
      </c>
      <c r="E20" s="16">
        <v>-13</v>
      </c>
      <c r="F20" s="34">
        <v>-6</v>
      </c>
      <c r="G20" s="16"/>
      <c r="H20" s="16"/>
      <c r="I20" s="16">
        <v>-15</v>
      </c>
      <c r="J20" s="34">
        <f>D20+E20+F20</f>
        <v>79</v>
      </c>
      <c r="K20" s="34">
        <f>AVERAGE(J17:J20)</f>
        <v>16</v>
      </c>
      <c r="L20" s="16"/>
      <c r="M20" s="16">
        <f>-(I20-F20)+M19</f>
        <v>721</v>
      </c>
      <c r="N20" s="16"/>
      <c r="O20" s="16">
        <f>1+O19</f>
        <v>17</v>
      </c>
    </row>
    <row r="21" ht="21.2" customHeight="1">
      <c r="B21" s="28"/>
      <c r="C21" s="15">
        <v>284</v>
      </c>
      <c r="D21" s="16">
        <v>36</v>
      </c>
      <c r="E21" s="16">
        <v>-9</v>
      </c>
      <c r="F21" s="34">
        <v>-6</v>
      </c>
      <c r="G21" s="16"/>
      <c r="H21" s="16"/>
      <c r="I21" s="16">
        <v>-47</v>
      </c>
      <c r="J21" s="34">
        <f>D21+E21+F21</f>
        <v>21</v>
      </c>
      <c r="K21" s="34">
        <f>AVERAGE(J18:J21)</f>
        <v>5.25</v>
      </c>
      <c r="L21" s="16"/>
      <c r="M21" s="16">
        <f>-(I21-F21)+M20</f>
        <v>762</v>
      </c>
      <c r="N21" s="16"/>
      <c r="O21" s="16">
        <f>1+O20</f>
        <v>18</v>
      </c>
    </row>
    <row r="22" ht="21.2" customHeight="1">
      <c r="B22" s="28"/>
      <c r="C22" s="15">
        <v>252</v>
      </c>
      <c r="D22" s="16">
        <v>27</v>
      </c>
      <c r="E22" s="16">
        <v>-15</v>
      </c>
      <c r="F22" s="34">
        <v>-6</v>
      </c>
      <c r="G22" s="16"/>
      <c r="H22" s="16"/>
      <c r="I22" s="16">
        <v>-8</v>
      </c>
      <c r="J22" s="34">
        <f>D22+E22+F22</f>
        <v>6</v>
      </c>
      <c r="K22" s="34">
        <f>AVERAGE(J19:J22)</f>
        <v>12.5</v>
      </c>
      <c r="L22" s="16"/>
      <c r="M22" s="16">
        <f>-(I22-F22)+M21</f>
        <v>764</v>
      </c>
      <c r="N22" s="16"/>
      <c r="O22" s="16">
        <f>1+O21</f>
        <v>19</v>
      </c>
    </row>
    <row r="23" ht="21.2" customHeight="1">
      <c r="B23" s="28"/>
      <c r="C23" s="15">
        <f>1239.5-SUM(C20:C22)</f>
        <v>307.5</v>
      </c>
      <c r="D23" s="34">
        <f>172.7-SUM(D20:D22)</f>
        <v>11.7</v>
      </c>
      <c r="E23" s="34">
        <f>-44.8-SUM(E20:E22)</f>
        <v>-7.8</v>
      </c>
      <c r="F23" s="34">
        <v>-6</v>
      </c>
      <c r="G23" s="34"/>
      <c r="H23" s="34"/>
      <c r="I23" s="34">
        <f>-55.2-SUM(I20:I22)</f>
        <v>14.8</v>
      </c>
      <c r="J23" s="34">
        <f>D23+E23+F23</f>
        <v>-2.1</v>
      </c>
      <c r="K23" s="34">
        <f>AVERAGE(J20:J23)</f>
        <v>25.975</v>
      </c>
      <c r="L23" s="16"/>
      <c r="M23" s="16">
        <f>-(I23-F23)+M22</f>
        <v>743.2</v>
      </c>
      <c r="N23" s="16"/>
      <c r="O23" s="16">
        <f>1+O22</f>
        <v>20</v>
      </c>
    </row>
    <row r="24" ht="21.2" customHeight="1">
      <c r="B24" s="29">
        <v>2021</v>
      </c>
      <c r="C24" s="15">
        <v>274.4</v>
      </c>
      <c r="D24" s="16">
        <v>54.4</v>
      </c>
      <c r="E24" s="16">
        <v>-4</v>
      </c>
      <c r="F24" s="34">
        <v>-4.6</v>
      </c>
      <c r="G24" s="16">
        <v>0</v>
      </c>
      <c r="H24" s="16">
        <v>0</v>
      </c>
      <c r="I24" s="16">
        <f>-4.6</f>
        <v>-4.6</v>
      </c>
      <c r="J24" s="34">
        <f>D24+E24+F24</f>
        <v>45.8</v>
      </c>
      <c r="K24" s="34">
        <f>AVERAGE(J21:J24)</f>
        <v>17.675</v>
      </c>
      <c r="L24" s="16"/>
      <c r="M24" s="16">
        <f>-(I24-F24)+M23</f>
        <v>743.2</v>
      </c>
      <c r="N24" s="16"/>
      <c r="O24" s="16">
        <f>1+O23</f>
        <v>21</v>
      </c>
    </row>
    <row r="25" ht="21.2" customHeight="1">
      <c r="B25" s="28"/>
      <c r="C25" s="15">
        <f>650.4-C24</f>
        <v>376</v>
      </c>
      <c r="D25" s="16">
        <f>191.6-D24</f>
        <v>137.2</v>
      </c>
      <c r="E25" s="16">
        <f>-11.3-E24</f>
        <v>-7.3</v>
      </c>
      <c r="F25" s="34">
        <f>-4.3-F24</f>
        <v>0.3</v>
      </c>
      <c r="G25" s="16">
        <f>-20.8-H25-H24-F25-F24</f>
        <v>-3.823</v>
      </c>
      <c r="H25" s="16">
        <v>-12.677</v>
      </c>
      <c r="I25" s="16">
        <f>-20.8-I24</f>
        <v>-16.2</v>
      </c>
      <c r="J25" s="34">
        <f>D25+E25+F25</f>
        <v>130.2</v>
      </c>
      <c r="K25" s="34">
        <f>AVERAGE(J22:J25)</f>
        <v>44.975</v>
      </c>
      <c r="L25" s="16"/>
      <c r="M25" s="16">
        <f>-(I25-F25)+M24</f>
        <v>759.7</v>
      </c>
      <c r="N25" s="16"/>
      <c r="O25" s="16">
        <f>1+O24</f>
        <v>22</v>
      </c>
    </row>
    <row r="26" ht="21.2" customHeight="1">
      <c r="B26" s="28"/>
      <c r="C26" s="15">
        <f>1195.5-SUM(C24:C25)</f>
        <v>545.1</v>
      </c>
      <c r="D26" s="16">
        <f>329.1-SUM(D24:D25)</f>
        <v>137.5</v>
      </c>
      <c r="E26" s="16">
        <f>-21.6-SUM(E24:E25)</f>
        <v>-10.3</v>
      </c>
      <c r="F26" s="34">
        <f>-12.9-SUM(F24:F25)</f>
        <v>-8.6</v>
      </c>
      <c r="G26" s="16">
        <f>-29.4-H26-H25-H24-G25-G24-F26-F25-F24</f>
        <v>0</v>
      </c>
      <c r="H26" s="16">
        <f>-12.677-H25-H24</f>
        <v>0</v>
      </c>
      <c r="I26" s="16">
        <f>-29.4-SUM(I24:I25)</f>
        <v>-8.6</v>
      </c>
      <c r="J26" s="34">
        <f>D26+E26+F26</f>
        <v>118.6</v>
      </c>
      <c r="K26" s="34">
        <f>AVERAGE(J23:J26)</f>
        <v>73.125</v>
      </c>
      <c r="L26" s="16"/>
      <c r="M26" s="16">
        <f>-(I26-F26)+M25</f>
        <v>759.7</v>
      </c>
      <c r="N26" s="16"/>
      <c r="O26" s="16">
        <f>1+O25</f>
        <v>23</v>
      </c>
    </row>
    <row r="27" ht="21.2" customHeight="1">
      <c r="B27" s="28"/>
      <c r="C27" s="15">
        <f>1964.6-SUM(C24:C26)</f>
        <v>769.1</v>
      </c>
      <c r="D27" s="16">
        <f>617.7-SUM(D24:D26)</f>
        <v>288.6</v>
      </c>
      <c r="E27" s="16">
        <f>-24.7-SUM(E24:E26)</f>
        <v>-3.1</v>
      </c>
      <c r="F27" s="34">
        <f>-20-SUM(F24:F26)</f>
        <v>-7.1</v>
      </c>
      <c r="G27" s="16">
        <f>-7.7-SUM(G24:G26)</f>
        <v>-3.877</v>
      </c>
      <c r="H27" s="16">
        <f>-106.7+0.3-SUM(H24:H26)</f>
        <v>-93.723</v>
      </c>
      <c r="I27" s="16">
        <f>-134.2-SUM(I24:I26)</f>
        <v>-104.8</v>
      </c>
      <c r="J27" s="34">
        <f>D27+E27+F27</f>
        <v>278.4</v>
      </c>
      <c r="K27" s="34">
        <f>AVERAGE(J24:J27)</f>
        <v>143.25</v>
      </c>
      <c r="L27" s="16"/>
      <c r="M27" s="16">
        <f>-(I27-F27)+M26</f>
        <v>857.4</v>
      </c>
      <c r="N27" s="16"/>
      <c r="O27" s="16">
        <f>1+O26</f>
        <v>24</v>
      </c>
    </row>
    <row r="28" ht="21.2" customHeight="1">
      <c r="B28" s="29">
        <v>2022</v>
      </c>
      <c r="C28" s="15">
        <v>605.7</v>
      </c>
      <c r="D28" s="16">
        <v>187.6</v>
      </c>
      <c r="E28" s="16">
        <v>-12.7</v>
      </c>
      <c r="F28" s="34">
        <v>-3.7</v>
      </c>
      <c r="G28" s="16">
        <v>0</v>
      </c>
      <c r="H28" s="16">
        <v>59.9</v>
      </c>
      <c r="I28" s="16">
        <v>56.2</v>
      </c>
      <c r="J28" s="34">
        <f>D28+E28+F28</f>
        <v>171.2</v>
      </c>
      <c r="K28" s="34">
        <f>AVERAGE(J25:J28)</f>
        <v>174.6</v>
      </c>
      <c r="L28" s="16">
        <v>452.518818962430</v>
      </c>
      <c r="M28" s="16">
        <f>-(I28-F28)+M27</f>
        <v>797.5</v>
      </c>
      <c r="N28" s="16">
        <v>1976.330551028110</v>
      </c>
      <c r="O28" s="16">
        <f>1+O27</f>
        <v>25</v>
      </c>
    </row>
    <row r="29" ht="21.2" customHeight="1">
      <c r="B29" s="28"/>
      <c r="C29" s="15"/>
      <c r="D29" s="16"/>
      <c r="E29" s="16"/>
      <c r="F29" s="34"/>
      <c r="G29" s="16"/>
      <c r="H29" s="16"/>
      <c r="I29" s="16"/>
      <c r="J29" s="34"/>
      <c r="K29" s="20"/>
      <c r="L29" s="16">
        <f>SUM('Model'!E8:E9)</f>
        <v>257.930973108292</v>
      </c>
      <c r="M29" s="20"/>
      <c r="N29" s="16">
        <f>'Model'!E33</f>
        <v>1542.146695916080</v>
      </c>
      <c r="O29" s="16"/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5" customWidth="1"/>
    <col min="2" max="11" width="9.21875" style="35" customWidth="1"/>
    <col min="12" max="16384" width="16.3516" style="35" customWidth="1"/>
  </cols>
  <sheetData>
    <row r="1" ht="7.5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49</v>
      </c>
      <c r="D3" t="s" s="5">
        <v>50</v>
      </c>
      <c r="E3" t="s" s="5">
        <v>22</v>
      </c>
      <c r="F3" t="s" s="5">
        <v>23</v>
      </c>
      <c r="G3" t="s" s="5">
        <v>11</v>
      </c>
      <c r="H3" t="s" s="5">
        <v>14</v>
      </c>
      <c r="I3" t="s" s="5">
        <v>51</v>
      </c>
      <c r="J3" t="s" s="5">
        <v>26</v>
      </c>
      <c r="K3" t="s" s="5">
        <v>35</v>
      </c>
    </row>
    <row r="4" ht="20.25" customHeight="1">
      <c r="B4" s="25">
        <v>2016</v>
      </c>
      <c r="C4" s="26">
        <v>295</v>
      </c>
      <c r="D4" s="27">
        <v>1151</v>
      </c>
      <c r="E4" s="27">
        <f>D4-C4</f>
        <v>856</v>
      </c>
      <c r="F4" s="27">
        <f>F5-'Sales'!E4</f>
        <v>790.25</v>
      </c>
      <c r="G4" s="27">
        <v>300</v>
      </c>
      <c r="H4" s="27">
        <v>851</v>
      </c>
      <c r="I4" s="27">
        <f>G4+H4-C4-E4</f>
        <v>0</v>
      </c>
      <c r="J4" s="27">
        <f>C4-G4</f>
        <v>-5</v>
      </c>
      <c r="K4" s="27"/>
    </row>
    <row r="5" ht="20.05" customHeight="1">
      <c r="B5" s="28"/>
      <c r="C5" s="15">
        <v>266</v>
      </c>
      <c r="D5" s="16">
        <v>1113</v>
      </c>
      <c r="E5" s="16">
        <f>D5-C5</f>
        <v>847</v>
      </c>
      <c r="F5" s="16">
        <f>F6-'Sales'!E5</f>
        <v>815.5</v>
      </c>
      <c r="G5" s="16">
        <v>268</v>
      </c>
      <c r="H5" s="16">
        <v>846</v>
      </c>
      <c r="I5" s="16">
        <f>G5+H5-C5-E5</f>
        <v>1</v>
      </c>
      <c r="J5" s="16">
        <f>C5-G5</f>
        <v>-2</v>
      </c>
      <c r="K5" s="16"/>
    </row>
    <row r="6" ht="20.05" customHeight="1">
      <c r="B6" s="28"/>
      <c r="C6" s="15">
        <v>268</v>
      </c>
      <c r="D6" s="16">
        <v>1175</v>
      </c>
      <c r="E6" s="16">
        <f>D6-C6</f>
        <v>907</v>
      </c>
      <c r="F6" s="16">
        <f>F7-'Sales'!E6</f>
        <v>840.75</v>
      </c>
      <c r="G6" s="16">
        <v>297</v>
      </c>
      <c r="H6" s="16">
        <v>878</v>
      </c>
      <c r="I6" s="16">
        <f>G6+H6-C6-E6</f>
        <v>0</v>
      </c>
      <c r="J6" s="16">
        <f>C6-G6</f>
        <v>-29</v>
      </c>
      <c r="K6" s="16"/>
    </row>
    <row r="7" ht="20.05" customHeight="1">
      <c r="B7" s="28"/>
      <c r="C7" s="15">
        <v>328</v>
      </c>
      <c r="D7" s="16">
        <v>1210</v>
      </c>
      <c r="E7" s="16">
        <f>D7-C7</f>
        <v>882</v>
      </c>
      <c r="F7" s="16">
        <f>F8-'Sales'!E7</f>
        <v>866</v>
      </c>
      <c r="G7" s="16">
        <v>302</v>
      </c>
      <c r="H7" s="16">
        <v>907</v>
      </c>
      <c r="I7" s="16">
        <f>G7+H7-C7-E7</f>
        <v>-1</v>
      </c>
      <c r="J7" s="16">
        <f>C7-G7</f>
        <v>26</v>
      </c>
      <c r="K7" s="16"/>
    </row>
    <row r="8" ht="20.05" customHeight="1">
      <c r="B8" s="29">
        <v>2017</v>
      </c>
      <c r="C8" s="15">
        <v>404</v>
      </c>
      <c r="D8" s="16">
        <v>1292</v>
      </c>
      <c r="E8" s="16">
        <f>D8-C8</f>
        <v>888</v>
      </c>
      <c r="F8" s="16">
        <f>F9-'Sales'!E8</f>
        <v>890.5</v>
      </c>
      <c r="G8" s="16">
        <v>426</v>
      </c>
      <c r="H8" s="16">
        <v>866</v>
      </c>
      <c r="I8" s="16">
        <f>G8+H8-C8-E8</f>
        <v>0</v>
      </c>
      <c r="J8" s="16">
        <f>C8-G8</f>
        <v>-22</v>
      </c>
      <c r="K8" s="16"/>
    </row>
    <row r="9" ht="20.05" customHeight="1">
      <c r="B9" s="28"/>
      <c r="C9" s="15">
        <v>370</v>
      </c>
      <c r="D9" s="16">
        <v>1255</v>
      </c>
      <c r="E9" s="16">
        <f>D9-C9</f>
        <v>885</v>
      </c>
      <c r="F9" s="16">
        <f>F10-'Sales'!E9</f>
        <v>915</v>
      </c>
      <c r="G9" s="16">
        <v>339</v>
      </c>
      <c r="H9" s="16">
        <v>916</v>
      </c>
      <c r="I9" s="16">
        <f>G9+H9-C9-E9</f>
        <v>0</v>
      </c>
      <c r="J9" s="16">
        <f>C9-G9</f>
        <v>31</v>
      </c>
      <c r="K9" s="16"/>
    </row>
    <row r="10" ht="20.05" customHeight="1">
      <c r="B10" s="28"/>
      <c r="C10" s="15">
        <v>402</v>
      </c>
      <c r="D10" s="16">
        <v>1347</v>
      </c>
      <c r="E10" s="16">
        <f>D10-C10</f>
        <v>945</v>
      </c>
      <c r="F10" s="16">
        <f>F11-'Sales'!E10</f>
        <v>939.5</v>
      </c>
      <c r="G10" s="16">
        <v>366</v>
      </c>
      <c r="H10" s="16">
        <v>982</v>
      </c>
      <c r="I10" s="16">
        <f>G10+H10-C10-E10</f>
        <v>1</v>
      </c>
      <c r="J10" s="16">
        <f>C10-G10</f>
        <v>36</v>
      </c>
      <c r="K10" s="16"/>
    </row>
    <row r="11" ht="20.05" customHeight="1">
      <c r="B11" s="28"/>
      <c r="C11" s="15">
        <v>374</v>
      </c>
      <c r="D11" s="16">
        <v>1359</v>
      </c>
      <c r="E11" s="16">
        <f>D11-C11</f>
        <v>985</v>
      </c>
      <c r="F11" s="16">
        <f>F12-'Sales'!E11</f>
        <v>964</v>
      </c>
      <c r="G11" s="16">
        <v>401</v>
      </c>
      <c r="H11" s="16">
        <v>958</v>
      </c>
      <c r="I11" s="16">
        <f>G11+H11-C11-E11</f>
        <v>0</v>
      </c>
      <c r="J11" s="16">
        <f>C11-G11</f>
        <v>-27</v>
      </c>
      <c r="K11" s="16"/>
    </row>
    <row r="12" ht="20.05" customHeight="1">
      <c r="B12" s="29">
        <v>2018</v>
      </c>
      <c r="C12" s="15">
        <v>424</v>
      </c>
      <c r="D12" s="16">
        <v>1373</v>
      </c>
      <c r="E12" s="16">
        <f>D12-C12</f>
        <v>949</v>
      </c>
      <c r="F12" s="16">
        <f>F13-'Sales'!E12</f>
        <v>989</v>
      </c>
      <c r="G12" s="16">
        <v>500</v>
      </c>
      <c r="H12" s="16">
        <v>873</v>
      </c>
      <c r="I12" s="16">
        <f>G12+H12-C12-E12</f>
        <v>0</v>
      </c>
      <c r="J12" s="16">
        <f>C12-G12</f>
        <v>-76</v>
      </c>
      <c r="K12" s="16"/>
    </row>
    <row r="13" ht="20.05" customHeight="1">
      <c r="B13" s="28"/>
      <c r="C13" s="15">
        <v>268</v>
      </c>
      <c r="D13" s="16">
        <v>1310</v>
      </c>
      <c r="E13" s="16">
        <f>D13-C13</f>
        <v>1042</v>
      </c>
      <c r="F13" s="16">
        <f>F14-'Sales'!E13</f>
        <v>1014</v>
      </c>
      <c r="G13" s="16">
        <v>411</v>
      </c>
      <c r="H13" s="16">
        <v>899</v>
      </c>
      <c r="I13" s="16">
        <f>G13+H13-C13-E13</f>
        <v>0</v>
      </c>
      <c r="J13" s="16">
        <f>C13-G13</f>
        <v>-143</v>
      </c>
      <c r="K13" s="16"/>
    </row>
    <row r="14" ht="20.05" customHeight="1">
      <c r="B14" s="28"/>
      <c r="C14" s="15">
        <v>351</v>
      </c>
      <c r="D14" s="16">
        <v>1473</v>
      </c>
      <c r="E14" s="16">
        <f>D14-C14</f>
        <v>1122</v>
      </c>
      <c r="F14" s="16">
        <f>F15-'Sales'!E14</f>
        <v>1039</v>
      </c>
      <c r="G14" s="16">
        <v>471</v>
      </c>
      <c r="H14" s="16">
        <v>1002</v>
      </c>
      <c r="I14" s="16">
        <f>G14+H14-C14-E14</f>
        <v>0</v>
      </c>
      <c r="J14" s="16">
        <f>C14-G14</f>
        <v>-120</v>
      </c>
      <c r="K14" s="16"/>
    </row>
    <row r="15" ht="20.05" customHeight="1">
      <c r="B15" s="28"/>
      <c r="C15" s="15">
        <v>368</v>
      </c>
      <c r="D15" s="16">
        <v>1443</v>
      </c>
      <c r="E15" s="16">
        <f>D15-C15</f>
        <v>1075</v>
      </c>
      <c r="F15" s="16">
        <f>F16-'Sales'!E15</f>
        <v>1064</v>
      </c>
      <c r="G15" s="16">
        <v>473</v>
      </c>
      <c r="H15" s="16">
        <v>970</v>
      </c>
      <c r="I15" s="16">
        <f>G15+H15-C15-E15</f>
        <v>0</v>
      </c>
      <c r="J15" s="16">
        <f>C15-G15</f>
        <v>-105</v>
      </c>
      <c r="K15" s="16"/>
    </row>
    <row r="16" ht="20.05" customHeight="1">
      <c r="B16" s="29">
        <v>2019</v>
      </c>
      <c r="C16" s="15">
        <v>392</v>
      </c>
      <c r="D16" s="16">
        <v>1469</v>
      </c>
      <c r="E16" s="16">
        <f>D16-C16</f>
        <v>1077</v>
      </c>
      <c r="F16" s="16">
        <f>F17-'Sales'!E16</f>
        <v>1116.75</v>
      </c>
      <c r="G16" s="16">
        <v>616</v>
      </c>
      <c r="H16" s="16">
        <v>853</v>
      </c>
      <c r="I16" s="16">
        <f>G16+H16-C16-E16</f>
        <v>0</v>
      </c>
      <c r="J16" s="16">
        <f>C16-G16</f>
        <v>-224</v>
      </c>
      <c r="K16" s="16"/>
    </row>
    <row r="17" ht="20.05" customHeight="1">
      <c r="B17" s="28"/>
      <c r="C17" s="15">
        <v>287</v>
      </c>
      <c r="D17" s="16">
        <v>1324</v>
      </c>
      <c r="E17" s="16">
        <f>D17-C17</f>
        <v>1037</v>
      </c>
      <c r="F17" s="16">
        <f>F18-'Sales'!E17</f>
        <v>1169.5</v>
      </c>
      <c r="G17" s="16">
        <v>439</v>
      </c>
      <c r="H17" s="16">
        <v>885</v>
      </c>
      <c r="I17" s="16">
        <f>G17+H17-C17-E17</f>
        <v>0</v>
      </c>
      <c r="J17" s="16">
        <f>C17-G17</f>
        <v>-152</v>
      </c>
      <c r="K17" s="16"/>
    </row>
    <row r="18" ht="20.05" customHeight="1">
      <c r="B18" s="28"/>
      <c r="C18" s="15">
        <v>271</v>
      </c>
      <c r="D18" s="16">
        <v>1308</v>
      </c>
      <c r="E18" s="16">
        <f>D18-C18</f>
        <v>1037</v>
      </c>
      <c r="F18" s="16">
        <f>F19-'Sales'!E18</f>
        <v>1222.25</v>
      </c>
      <c r="G18" s="16">
        <v>397</v>
      </c>
      <c r="H18" s="16">
        <v>911</v>
      </c>
      <c r="I18" s="16">
        <f>G18+H18-C18-E18</f>
        <v>0</v>
      </c>
      <c r="J18" s="16">
        <f>C18-G18</f>
        <v>-126</v>
      </c>
      <c r="K18" s="16"/>
    </row>
    <row r="19" ht="20.05" customHeight="1">
      <c r="B19" s="28"/>
      <c r="C19" s="15">
        <v>159</v>
      </c>
      <c r="D19" s="16">
        <v>1209</v>
      </c>
      <c r="E19" s="16">
        <f>D19-C19</f>
        <v>1050</v>
      </c>
      <c r="F19" s="16">
        <f>F20-'Sales'!E19</f>
        <v>1275</v>
      </c>
      <c r="G19" s="16">
        <v>325</v>
      </c>
      <c r="H19" s="16">
        <v>884</v>
      </c>
      <c r="I19" s="16">
        <f>G19+H19-C19-E19</f>
        <v>0</v>
      </c>
      <c r="J19" s="16">
        <f>C19-G19</f>
        <v>-166</v>
      </c>
      <c r="K19" s="16"/>
    </row>
    <row r="20" ht="20.05" customHeight="1">
      <c r="B20" s="29">
        <v>2020</v>
      </c>
      <c r="C20" s="15">
        <v>222</v>
      </c>
      <c r="D20" s="16">
        <v>1239</v>
      </c>
      <c r="E20" s="16">
        <f>D20-C20</f>
        <v>1017</v>
      </c>
      <c r="F20" s="16">
        <f>F21-'Sales'!E20</f>
        <v>1325</v>
      </c>
      <c r="G20" s="16">
        <v>374</v>
      </c>
      <c r="H20" s="16">
        <v>865</v>
      </c>
      <c r="I20" s="16">
        <f>G20+H20-C20-E20</f>
        <v>0</v>
      </c>
      <c r="J20" s="16">
        <f>C20-G20</f>
        <v>-152</v>
      </c>
      <c r="K20" s="16"/>
    </row>
    <row r="21" ht="20.05" customHeight="1">
      <c r="B21" s="28"/>
      <c r="C21" s="15">
        <v>208</v>
      </c>
      <c r="D21" s="16">
        <v>1229</v>
      </c>
      <c r="E21" s="16">
        <f>D21-C21</f>
        <v>1021</v>
      </c>
      <c r="F21" s="16">
        <f>F22-'Sales'!E21</f>
        <v>1375</v>
      </c>
      <c r="G21" s="16">
        <v>367</v>
      </c>
      <c r="H21" s="16">
        <v>862</v>
      </c>
      <c r="I21" s="16">
        <f>G21+H21-C21-E21</f>
        <v>0</v>
      </c>
      <c r="J21" s="16">
        <f>C21-G21</f>
        <v>-159</v>
      </c>
      <c r="K21" s="16"/>
    </row>
    <row r="22" ht="20.05" customHeight="1">
      <c r="B22" s="28"/>
      <c r="C22" s="15">
        <v>209</v>
      </c>
      <c r="D22" s="16">
        <v>1180</v>
      </c>
      <c r="E22" s="16">
        <f>D22-C22</f>
        <v>971</v>
      </c>
      <c r="F22" s="16">
        <f>18+745+487+159+16</f>
        <v>1425</v>
      </c>
      <c r="G22" s="16">
        <v>316</v>
      </c>
      <c r="H22" s="16">
        <v>864</v>
      </c>
      <c r="I22" s="16">
        <f>G22+H22-C22-E22</f>
        <v>0</v>
      </c>
      <c r="J22" s="16">
        <f>C22-G22</f>
        <v>-107</v>
      </c>
      <c r="K22" s="16"/>
    </row>
    <row r="23" ht="20.05" customHeight="1">
      <c r="B23" s="28"/>
      <c r="C23" s="15">
        <v>231</v>
      </c>
      <c r="D23" s="16">
        <v>1159</v>
      </c>
      <c r="E23" s="16">
        <f>D23-C23</f>
        <v>928</v>
      </c>
      <c r="F23" s="16">
        <f>25+758+515+16+161</f>
        <v>1475</v>
      </c>
      <c r="G23" s="16">
        <v>313</v>
      </c>
      <c r="H23" s="16">
        <v>846</v>
      </c>
      <c r="I23" s="16">
        <f>G23+H23-C23-E23</f>
        <v>0</v>
      </c>
      <c r="J23" s="16">
        <f>C23-G23</f>
        <v>-82</v>
      </c>
      <c r="K23" s="16"/>
    </row>
    <row r="24" ht="20.05" customHeight="1">
      <c r="B24" s="29">
        <v>2021</v>
      </c>
      <c r="C24" s="15">
        <v>276</v>
      </c>
      <c r="D24" s="16">
        <v>1201</v>
      </c>
      <c r="E24" s="16">
        <f>D24-C24</f>
        <v>925</v>
      </c>
      <c r="F24" s="16">
        <f>31+767+16+17+533</f>
        <v>1364</v>
      </c>
      <c r="G24" s="16">
        <v>318</v>
      </c>
      <c r="H24" s="16">
        <v>883</v>
      </c>
      <c r="I24" s="16">
        <f>G24+H24-C24-E24</f>
        <v>0</v>
      </c>
      <c r="J24" s="16">
        <f>C24-G24</f>
        <v>-42</v>
      </c>
      <c r="K24" s="16"/>
    </row>
    <row r="25" ht="20.05" customHeight="1">
      <c r="B25" s="28"/>
      <c r="C25" s="15">
        <v>390</v>
      </c>
      <c r="D25" s="16">
        <v>1314</v>
      </c>
      <c r="E25" s="16">
        <f>D25-C25</f>
        <v>924</v>
      </c>
      <c r="F25" s="16">
        <f>36+777+553+170+17</f>
        <v>1553</v>
      </c>
      <c r="G25" s="16">
        <v>408</v>
      </c>
      <c r="H25" s="16">
        <v>906</v>
      </c>
      <c r="I25" s="16">
        <f>G25+H25-C25-E25</f>
        <v>0</v>
      </c>
      <c r="J25" s="16">
        <f>C25-G25</f>
        <v>-18</v>
      </c>
      <c r="K25" s="16"/>
    </row>
    <row r="26" ht="20.05" customHeight="1">
      <c r="B26" s="28"/>
      <c r="C26" s="15">
        <v>510</v>
      </c>
      <c r="D26" s="16">
        <v>1510</v>
      </c>
      <c r="E26" s="16">
        <f>D26-C26</f>
        <v>1000</v>
      </c>
      <c r="F26" s="16">
        <f>787+39+581+176+17</f>
        <v>1600</v>
      </c>
      <c r="G26" s="16">
        <v>472</v>
      </c>
      <c r="H26" s="16">
        <v>1038</v>
      </c>
      <c r="I26" s="16">
        <f>G26+H26-C26-E26</f>
        <v>0</v>
      </c>
      <c r="J26" s="16">
        <f>C26-G26</f>
        <v>38</v>
      </c>
      <c r="K26" s="16"/>
    </row>
    <row r="27" ht="20.05" customHeight="1">
      <c r="B27" s="28"/>
      <c r="C27" s="15">
        <v>691</v>
      </c>
      <c r="D27" s="16">
        <v>1666</v>
      </c>
      <c r="E27" s="16">
        <f>D27-C27</f>
        <v>975</v>
      </c>
      <c r="F27" s="16">
        <f>17+190+599+44+795</f>
        <v>1645</v>
      </c>
      <c r="G27" s="16">
        <v>465</v>
      </c>
      <c r="H27" s="16">
        <v>1201</v>
      </c>
      <c r="I27" s="16">
        <f>G27+H27-C27-E27</f>
        <v>0</v>
      </c>
      <c r="J27" s="16">
        <f>C27-G27</f>
        <v>226</v>
      </c>
      <c r="K27" s="16"/>
    </row>
    <row r="28" ht="20.05" customHeight="1">
      <c r="B28" s="29">
        <v>2022</v>
      </c>
      <c r="C28" s="15">
        <f>C26+'Cashflow '!D27+'Cashflow '!E27+'Cashflow '!I27</f>
        <v>690.7</v>
      </c>
      <c r="D28" s="16">
        <v>1976</v>
      </c>
      <c r="E28" s="16">
        <f>D28-C28</f>
        <v>1285.3</v>
      </c>
      <c r="F28" s="16">
        <f>804+49+611+197+17</f>
        <v>1678</v>
      </c>
      <c r="G28" s="16">
        <v>748</v>
      </c>
      <c r="H28" s="16">
        <v>1228</v>
      </c>
      <c r="I28" s="16">
        <f>G28+H28-C28-E28</f>
        <v>0</v>
      </c>
      <c r="J28" s="16">
        <f>C28-G28</f>
        <v>-57.3</v>
      </c>
      <c r="K28" s="16">
        <v>831.075410262050</v>
      </c>
    </row>
    <row r="29" ht="20.05" customHeight="1">
      <c r="B29" s="28"/>
      <c r="C29" s="15"/>
      <c r="D29" s="16"/>
      <c r="E29" s="16"/>
      <c r="F29" s="16"/>
      <c r="G29" s="16"/>
      <c r="H29" s="16"/>
      <c r="I29" s="16"/>
      <c r="J29" s="16"/>
      <c r="K29" s="16">
        <f>'Model'!E30</f>
        <v>295.169668785467</v>
      </c>
    </row>
    <row r="30" ht="20.05" customHeight="1">
      <c r="B30" s="28"/>
      <c r="C30" s="15"/>
      <c r="D30" s="16"/>
      <c r="E30" s="16"/>
      <c r="F30" s="16"/>
      <c r="G30" s="16"/>
      <c r="H30" s="16"/>
      <c r="I30" s="16"/>
      <c r="J30" s="16"/>
      <c r="K30" s="16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6" customWidth="1"/>
    <col min="2" max="5" width="9.9375" style="36" customWidth="1"/>
    <col min="6" max="16384" width="16.3516" style="36" customWidth="1"/>
  </cols>
  <sheetData>
    <row r="1" ht="30.75" customHeight="1"/>
    <row r="2" ht="27.65" customHeight="1">
      <c r="B2" t="s" s="2">
        <v>52</v>
      </c>
      <c r="C2" s="2"/>
      <c r="D2" s="2"/>
      <c r="E2" s="2"/>
    </row>
    <row r="3" ht="20.25" customHeight="1">
      <c r="B3" s="4"/>
      <c r="C3" t="s" s="37">
        <v>53</v>
      </c>
      <c r="D3" t="s" s="37">
        <v>38</v>
      </c>
      <c r="E3" t="s" s="37">
        <v>54</v>
      </c>
    </row>
    <row r="4" ht="20.25" customHeight="1">
      <c r="B4" s="25">
        <v>2018</v>
      </c>
      <c r="C4" s="38">
        <v>28500</v>
      </c>
      <c r="D4" s="39"/>
      <c r="E4" s="39"/>
    </row>
    <row r="5" ht="20.05" customHeight="1">
      <c r="B5" s="28"/>
      <c r="C5" s="40">
        <v>22375</v>
      </c>
      <c r="D5" s="41"/>
      <c r="E5" s="41"/>
    </row>
    <row r="6" ht="20.05" customHeight="1">
      <c r="B6" s="28"/>
      <c r="C6" s="40">
        <v>25850</v>
      </c>
      <c r="D6" s="41"/>
      <c r="E6" s="41"/>
    </row>
    <row r="7" ht="20.05" customHeight="1">
      <c r="B7" s="28"/>
      <c r="C7" s="40">
        <v>20250</v>
      </c>
      <c r="D7" s="41"/>
      <c r="E7" s="41"/>
    </row>
    <row r="8" ht="20.05" customHeight="1">
      <c r="B8" s="29">
        <v>2019</v>
      </c>
      <c r="C8" s="40">
        <v>23925</v>
      </c>
      <c r="D8" s="41"/>
      <c r="E8" s="41"/>
    </row>
    <row r="9" ht="20.05" customHeight="1">
      <c r="B9" s="28"/>
      <c r="C9" s="40">
        <v>17550</v>
      </c>
      <c r="D9" s="41"/>
      <c r="E9" s="41"/>
    </row>
    <row r="10" ht="20.05" customHeight="1">
      <c r="B10" s="28"/>
      <c r="C10" s="40">
        <v>12400</v>
      </c>
      <c r="D10" s="41"/>
      <c r="E10" s="41"/>
    </row>
    <row r="11" ht="20.05" customHeight="1">
      <c r="B11" s="28"/>
      <c r="C11" s="40">
        <v>11475</v>
      </c>
      <c r="D11" s="41"/>
      <c r="E11" s="41"/>
    </row>
    <row r="12" ht="20.05" customHeight="1">
      <c r="B12" s="29">
        <v>2020</v>
      </c>
      <c r="C12" s="40">
        <v>8100</v>
      </c>
      <c r="D12" s="41"/>
      <c r="E12" s="41"/>
    </row>
    <row r="13" ht="20.05" customHeight="1">
      <c r="B13" s="28"/>
      <c r="C13" s="40">
        <v>7100</v>
      </c>
      <c r="D13" s="41"/>
      <c r="E13" s="41"/>
    </row>
    <row r="14" ht="20.05" customHeight="1">
      <c r="B14" s="28"/>
      <c r="C14" s="15">
        <v>8150</v>
      </c>
      <c r="D14" s="41"/>
      <c r="E14" s="41"/>
    </row>
    <row r="15" ht="20.05" customHeight="1">
      <c r="B15" s="28"/>
      <c r="C15" s="15">
        <v>13850</v>
      </c>
      <c r="D15" s="41"/>
      <c r="E15" s="41"/>
    </row>
    <row r="16" ht="20.05" customHeight="1">
      <c r="B16" s="29">
        <v>2021</v>
      </c>
      <c r="C16" s="15">
        <v>11266.989258</v>
      </c>
      <c r="D16" s="16"/>
      <c r="E16" s="16"/>
    </row>
    <row r="17" ht="20.05" customHeight="1">
      <c r="B17" s="28"/>
      <c r="C17" s="15">
        <v>14200</v>
      </c>
      <c r="D17" s="16"/>
      <c r="E17" s="16"/>
    </row>
    <row r="18" ht="20.05" customHeight="1">
      <c r="B18" s="28"/>
      <c r="C18" s="15">
        <v>21175</v>
      </c>
      <c r="D18" s="16"/>
      <c r="E18" s="16"/>
    </row>
    <row r="19" ht="20.05" customHeight="1">
      <c r="B19" s="28"/>
      <c r="C19" s="15">
        <v>20400</v>
      </c>
      <c r="D19" s="16">
        <v>51578.4233049986</v>
      </c>
      <c r="E19" s="16"/>
    </row>
    <row r="20" ht="20.05" customHeight="1">
      <c r="B20" s="29">
        <v>2022</v>
      </c>
      <c r="C20" s="15">
        <v>28550</v>
      </c>
      <c r="D20" s="16">
        <v>91148.6400045216</v>
      </c>
      <c r="E20" s="16"/>
    </row>
    <row r="21" ht="20.05" customHeight="1">
      <c r="B21" s="28"/>
      <c r="C21" s="15">
        <v>28900</v>
      </c>
      <c r="D21" s="16">
        <v>104547.490085186</v>
      </c>
      <c r="E21" s="16"/>
    </row>
    <row r="22" ht="20.05" customHeight="1">
      <c r="B22" s="28"/>
      <c r="C22" s="15"/>
      <c r="D22" s="41">
        <f>'Model'!E44</f>
        <v>74343.3166082393</v>
      </c>
      <c r="E22" s="41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Q4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0.6641" style="42" customWidth="1"/>
    <col min="9" max="17" width="11.375" style="43" customWidth="1"/>
    <col min="18" max="16384" width="16.3516" style="43" customWidth="1"/>
  </cols>
  <sheetData>
    <row r="1" ht="27.65" customHeight="1">
      <c r="A1" t="s" s="2">
        <v>55</v>
      </c>
      <c r="B1" s="2"/>
      <c r="C1" s="2"/>
      <c r="D1" s="2"/>
      <c r="E1" s="2"/>
      <c r="F1" s="2"/>
      <c r="G1" s="2"/>
      <c r="H1" s="2"/>
    </row>
    <row r="2" ht="20.25" customHeight="1">
      <c r="A2" t="s" s="5">
        <v>1</v>
      </c>
      <c r="B2" t="s" s="5">
        <v>11</v>
      </c>
      <c r="C2" t="s" s="5">
        <v>14</v>
      </c>
      <c r="D2" t="s" s="5">
        <v>56</v>
      </c>
      <c r="E2" t="s" s="5">
        <v>11</v>
      </c>
      <c r="F2" t="s" s="5">
        <v>14</v>
      </c>
      <c r="G2" t="s" s="5">
        <v>56</v>
      </c>
      <c r="H2" s="4"/>
    </row>
    <row r="3" ht="20.25" customHeight="1">
      <c r="A3" s="25">
        <v>2006</v>
      </c>
      <c r="B3" s="26">
        <f>9.4+0.2-C3</f>
        <v>17.1</v>
      </c>
      <c r="C3" s="27">
        <v>-7.5</v>
      </c>
      <c r="D3" s="27">
        <f>B3+C3</f>
        <v>9.6</v>
      </c>
      <c r="E3" s="27">
        <f>B3</f>
        <v>17.1</v>
      </c>
      <c r="F3" s="27">
        <f>C3</f>
        <v>-7.5</v>
      </c>
      <c r="G3" s="27">
        <f>D3</f>
        <v>9.6</v>
      </c>
      <c r="H3" s="8"/>
    </row>
    <row r="4" ht="20.05" customHeight="1">
      <c r="A4" s="29">
        <f>1+$A3</f>
        <v>2007</v>
      </c>
      <c r="B4" s="15">
        <f>180+0.2-C4</f>
        <v>-101.8</v>
      </c>
      <c r="C4" s="16">
        <f>367-85</f>
        <v>282</v>
      </c>
      <c r="D4" s="16">
        <f>B4+C4</f>
        <v>180.2</v>
      </c>
      <c r="E4" s="16">
        <f>B4+E3</f>
        <v>-84.7</v>
      </c>
      <c r="F4" s="16">
        <f>C4+F3</f>
        <v>274.5</v>
      </c>
      <c r="G4" s="16">
        <f>D4+G3</f>
        <v>189.8</v>
      </c>
      <c r="H4" s="20"/>
    </row>
    <row r="5" ht="20.05" customHeight="1">
      <c r="A5" s="29">
        <f>1+$A4</f>
        <v>2008</v>
      </c>
      <c r="B5" s="15">
        <f>-169+0.1-C5</f>
        <v>-80.90000000000001</v>
      </c>
      <c r="C5" s="16">
        <v>-88</v>
      </c>
      <c r="D5" s="16">
        <f>B5+C5</f>
        <v>-168.9</v>
      </c>
      <c r="E5" s="16">
        <f>B5+E4</f>
        <v>-165.6</v>
      </c>
      <c r="F5" s="16">
        <f>C5+F4</f>
        <v>186.5</v>
      </c>
      <c r="G5" s="16">
        <f>D5+G4</f>
        <v>20.9</v>
      </c>
      <c r="H5" s="20"/>
    </row>
    <row r="6" ht="20.05" customHeight="1">
      <c r="A6" s="29">
        <f>1+$A5</f>
        <v>2009</v>
      </c>
      <c r="B6" s="15">
        <v>44</v>
      </c>
      <c r="C6" s="16">
        <v>-151</v>
      </c>
      <c r="D6" s="16">
        <f>B6+C6</f>
        <v>-107</v>
      </c>
      <c r="E6" s="16">
        <f>B6+E5</f>
        <v>-121.6</v>
      </c>
      <c r="F6" s="16">
        <f>C6+F5</f>
        <v>35.5</v>
      </c>
      <c r="G6" s="16">
        <f>D6+G5</f>
        <v>-86.09999999999999</v>
      </c>
      <c r="H6" s="20"/>
    </row>
    <row r="7" ht="20.05" customHeight="1">
      <c r="A7" s="29">
        <f>1+$A6</f>
        <v>2010</v>
      </c>
      <c r="B7" s="15">
        <f>50-105</f>
        <v>-55</v>
      </c>
      <c r="C7" s="16">
        <v>-256</v>
      </c>
      <c r="D7" s="16">
        <f>B7+C7</f>
        <v>-311</v>
      </c>
      <c r="E7" s="16">
        <f>B7+E6</f>
        <v>-176.6</v>
      </c>
      <c r="F7" s="16">
        <f>C7+F6</f>
        <v>-220.5</v>
      </c>
      <c r="G7" s="16">
        <f>D7+G6</f>
        <v>-397.1</v>
      </c>
      <c r="H7" s="20"/>
    </row>
    <row r="8" ht="20.05" customHeight="1">
      <c r="A8" s="29">
        <f>1+$A7</f>
        <v>2011</v>
      </c>
      <c r="B8" s="15"/>
      <c r="C8" s="16">
        <v>-206</v>
      </c>
      <c r="D8" s="16">
        <f>B8+C8</f>
        <v>-206</v>
      </c>
      <c r="E8" s="16">
        <f>B8+E7</f>
        <v>-176.6</v>
      </c>
      <c r="F8" s="16">
        <f>C8+F7</f>
        <v>-426.5</v>
      </c>
      <c r="G8" s="16">
        <f>D8+G7</f>
        <v>-603.1</v>
      </c>
      <c r="H8" s="20"/>
    </row>
    <row r="9" ht="20.05" customHeight="1">
      <c r="A9" s="29">
        <f>1+$A8</f>
        <v>2012</v>
      </c>
      <c r="B9" s="15"/>
      <c r="C9" s="16">
        <v>-505</v>
      </c>
      <c r="D9" s="16">
        <f>B9+C9</f>
        <v>-505</v>
      </c>
      <c r="E9" s="16">
        <f>B9+E8</f>
        <v>-176.6</v>
      </c>
      <c r="F9" s="16">
        <f>C9+F8</f>
        <v>-931.5</v>
      </c>
      <c r="G9" s="16">
        <f>D9+G8</f>
        <v>-1108.1</v>
      </c>
      <c r="H9" s="20"/>
    </row>
    <row r="10" ht="20.05" customHeight="1">
      <c r="A10" s="29">
        <f>1+$A9</f>
        <v>2013</v>
      </c>
      <c r="B10" s="15"/>
      <c r="C10" s="16">
        <v>-269</v>
      </c>
      <c r="D10" s="16">
        <f>B10+C10</f>
        <v>-269</v>
      </c>
      <c r="E10" s="16">
        <f>B10+E9</f>
        <v>-176.6</v>
      </c>
      <c r="F10" s="16">
        <f>C10+F9</f>
        <v>-1200.5</v>
      </c>
      <c r="G10" s="16">
        <f>D10+G9</f>
        <v>-1377.1</v>
      </c>
      <c r="H10" s="20"/>
    </row>
    <row r="11" ht="20.05" customHeight="1">
      <c r="A11" s="29">
        <f>1+$A10</f>
        <v>2014</v>
      </c>
      <c r="B11" s="15"/>
      <c r="C11" s="16">
        <v>-200</v>
      </c>
      <c r="D11" s="16">
        <f>B11+C11</f>
        <v>-200</v>
      </c>
      <c r="E11" s="16">
        <f>B11+E10</f>
        <v>-176.6</v>
      </c>
      <c r="F11" s="16">
        <f>C11+F10</f>
        <v>-1400.5</v>
      </c>
      <c r="G11" s="16">
        <f>D11+G10</f>
        <v>-1577.1</v>
      </c>
      <c r="H11" s="20"/>
    </row>
    <row r="12" ht="20.05" customHeight="1">
      <c r="A12" s="29">
        <f>1+$A11</f>
        <v>2015</v>
      </c>
      <c r="B12" s="15"/>
      <c r="C12" s="16">
        <v>-115</v>
      </c>
      <c r="D12" s="16">
        <f>B12+C12</f>
        <v>-115</v>
      </c>
      <c r="E12" s="16">
        <f>B12+E11</f>
        <v>-176.6</v>
      </c>
      <c r="F12" s="16">
        <f>C12+F11</f>
        <v>-1515.5</v>
      </c>
      <c r="G12" s="16">
        <f>D12+G11</f>
        <v>-1692.1</v>
      </c>
      <c r="H12" s="20"/>
    </row>
    <row r="13" ht="20.05" customHeight="1">
      <c r="A13" s="29">
        <f>1+$A12</f>
        <v>2016</v>
      </c>
      <c r="B13" s="15"/>
      <c r="C13" s="16">
        <v>-61</v>
      </c>
      <c r="D13" s="16">
        <f>B13+C13</f>
        <v>-61</v>
      </c>
      <c r="E13" s="16">
        <f>B13+E12</f>
        <v>-176.6</v>
      </c>
      <c r="F13" s="16">
        <f>C13+F12</f>
        <v>-1576.5</v>
      </c>
      <c r="G13" s="16">
        <f>D13+G12</f>
        <v>-1753.1</v>
      </c>
      <c r="H13" s="20"/>
    </row>
    <row r="14" ht="20.05" customHeight="1">
      <c r="A14" s="29">
        <f>1+$A13</f>
        <v>2017</v>
      </c>
      <c r="B14" s="15"/>
      <c r="C14" s="16">
        <v>-199</v>
      </c>
      <c r="D14" s="16">
        <f>B14+C14</f>
        <v>-199</v>
      </c>
      <c r="E14" s="16">
        <f>B14+E13</f>
        <v>-176.6</v>
      </c>
      <c r="F14" s="16">
        <f>C14+F13</f>
        <v>-1775.5</v>
      </c>
      <c r="G14" s="16">
        <f>D14+G13</f>
        <v>-1952.1</v>
      </c>
      <c r="H14" s="20"/>
    </row>
    <row r="15" ht="20.05" customHeight="1">
      <c r="A15" s="29">
        <f>1+$A14</f>
        <v>2018</v>
      </c>
      <c r="B15" s="15"/>
      <c r="C15" s="16">
        <v>-249</v>
      </c>
      <c r="D15" s="16">
        <f>B15+C15</f>
        <v>-249</v>
      </c>
      <c r="E15" s="16">
        <f>B15+E14</f>
        <v>-176.6</v>
      </c>
      <c r="F15" s="16">
        <f>C15+F14</f>
        <v>-2024.5</v>
      </c>
      <c r="G15" s="16">
        <f>D15+G14</f>
        <v>-2201.1</v>
      </c>
      <c r="H15" s="20"/>
    </row>
    <row r="16" ht="20.05" customHeight="1">
      <c r="A16" s="29">
        <f>1+$A15</f>
        <v>2019</v>
      </c>
      <c r="B16" s="15">
        <f>47-36</f>
        <v>11</v>
      </c>
      <c r="C16" s="16">
        <v>-214</v>
      </c>
      <c r="D16" s="16">
        <f>B16+C16</f>
        <v>-203</v>
      </c>
      <c r="E16" s="16">
        <f>B16+E15</f>
        <v>-165.6</v>
      </c>
      <c r="F16" s="16">
        <f>C16+F15</f>
        <v>-2238.5</v>
      </c>
      <c r="G16" s="16">
        <f>D16+G15</f>
        <v>-2404.1</v>
      </c>
      <c r="H16" s="19">
        <f>AVERAGE(D3:D18)*14</f>
        <v>-2099.341176470590</v>
      </c>
    </row>
    <row r="17" ht="20.05" customHeight="1">
      <c r="A17" s="29">
        <f>1+$A16</f>
        <v>2020</v>
      </c>
      <c r="B17" s="15">
        <f>-55+24-C17</f>
        <v>34</v>
      </c>
      <c r="C17" s="16">
        <v>-65</v>
      </c>
      <c r="D17" s="16">
        <f>B17+C17</f>
        <v>-31</v>
      </c>
      <c r="E17" s="16">
        <f>B17+E16</f>
        <v>-131.6</v>
      </c>
      <c r="F17" s="16">
        <f>C17+F16</f>
        <v>-2303.5</v>
      </c>
      <c r="G17" s="16">
        <f>D17+G16</f>
        <v>-2435.1</v>
      </c>
      <c r="H17" s="19">
        <f>AVERAGE(D14:D18)*14</f>
        <v>-2229.08</v>
      </c>
    </row>
    <row r="18" ht="20.05" customHeight="1">
      <c r="A18" s="29">
        <f>1+$A17</f>
        <v>2021</v>
      </c>
      <c r="B18" s="15">
        <f>SUM('Cashflow '!G24:G27)</f>
        <v>-7.7</v>
      </c>
      <c r="C18" s="16">
        <f>SUM('Cashflow '!H24:H27)</f>
        <v>-106.4</v>
      </c>
      <c r="D18" s="16">
        <f>B18+C18</f>
        <v>-114.1</v>
      </c>
      <c r="E18" s="16">
        <f>B18+E17</f>
        <v>-139.3</v>
      </c>
      <c r="F18" s="16">
        <f>C18+F17</f>
        <v>-2409.9</v>
      </c>
      <c r="G18" s="16">
        <f>D18+G17</f>
        <v>-2549.2</v>
      </c>
      <c r="H18" s="19">
        <f>D18*14</f>
        <v>-1597.4</v>
      </c>
    </row>
    <row r="20" ht="27.65" customHeight="1">
      <c r="I20" t="s" s="2">
        <v>57</v>
      </c>
      <c r="J20" s="2"/>
      <c r="K20" s="2"/>
      <c r="L20" s="2"/>
      <c r="M20" s="2"/>
      <c r="N20" s="2"/>
      <c r="O20" s="2"/>
      <c r="P20" s="2"/>
      <c r="Q20" s="2"/>
    </row>
    <row r="21" ht="20.25" customHeight="1">
      <c r="I21" s="4"/>
      <c r="J21" s="4"/>
      <c r="K21" s="4"/>
      <c r="L21" s="4"/>
      <c r="M21" s="4"/>
      <c r="N21" s="4"/>
      <c r="O21" s="4"/>
      <c r="P21" s="4"/>
      <c r="Q21" s="4"/>
    </row>
    <row r="22" ht="32.25" customHeight="1">
      <c r="I22" s="44"/>
      <c r="J22" t="s" s="45">
        <v>53</v>
      </c>
      <c r="K22" t="s" s="46">
        <v>58</v>
      </c>
      <c r="L22" s="8"/>
      <c r="M22" s="8"/>
      <c r="N22" s="8"/>
      <c r="O22" s="8"/>
      <c r="P22" s="8"/>
      <c r="Q22" s="8"/>
    </row>
    <row r="23" ht="20.05" customHeight="1">
      <c r="I23" s="28"/>
      <c r="J23" s="47">
        <v>44593</v>
      </c>
      <c r="K23" s="19">
        <v>24</v>
      </c>
      <c r="L23" s="19">
        <v>2022</v>
      </c>
      <c r="M23" s="20"/>
      <c r="N23" s="20"/>
      <c r="O23" s="20"/>
      <c r="P23" s="20"/>
      <c r="Q23" s="20"/>
    </row>
    <row r="24" ht="20.05" customHeight="1">
      <c r="I24" s="28"/>
      <c r="J24" t="s" s="48">
        <v>59</v>
      </c>
      <c r="K24" s="19">
        <f>$A3</f>
        <v>2006</v>
      </c>
      <c r="L24" s="20"/>
      <c r="M24" s="20"/>
      <c r="N24" s="20"/>
      <c r="O24" s="20"/>
      <c r="P24" s="20"/>
      <c r="Q24" s="20"/>
    </row>
    <row r="25" ht="32.05" customHeight="1">
      <c r="I25" s="28"/>
      <c r="J25" t="s" s="48">
        <v>60</v>
      </c>
      <c r="K25" s="19">
        <f>(2022-K24)*4</f>
        <v>64</v>
      </c>
      <c r="L25" s="20"/>
      <c r="M25" s="20"/>
      <c r="N25" s="20"/>
      <c r="O25" s="20"/>
      <c r="P25" s="20"/>
      <c r="Q25" s="20"/>
    </row>
    <row r="26" ht="32.05" customHeight="1">
      <c r="I26" s="28"/>
      <c r="J26" t="s" s="48">
        <v>11</v>
      </c>
      <c r="K26" s="19">
        <f>P30</f>
        <v>-139.3</v>
      </c>
      <c r="L26" t="s" s="49">
        <f>P27</f>
        <v>61</v>
      </c>
      <c r="M26" t="s" s="49">
        <f>IF(K26&gt;0,"raised","paid")</f>
        <v>62</v>
      </c>
      <c r="N26" s="20"/>
      <c r="O26" s="20"/>
      <c r="P26" s="20"/>
      <c r="Q26" s="20"/>
    </row>
    <row r="27" ht="32.05" customHeight="1">
      <c r="I27" s="28"/>
      <c r="J27" t="s" s="48">
        <f>J22</f>
        <v>53</v>
      </c>
      <c r="K27" t="s" s="49">
        <v>63</v>
      </c>
      <c r="L27" t="s" s="49">
        <f>IF(O27&gt;0,"raised","paid")</f>
        <v>62</v>
      </c>
      <c r="M27" t="s" s="49">
        <v>64</v>
      </c>
      <c r="N27" t="s" s="49">
        <v>65</v>
      </c>
      <c r="O27" s="19">
        <f>SUM(B3:B18)/16</f>
        <v>-8.706250000000001</v>
      </c>
      <c r="P27" t="s" s="49">
        <v>61</v>
      </c>
      <c r="Q27" t="s" s="49">
        <v>66</v>
      </c>
    </row>
    <row r="28" ht="32.05" customHeight="1">
      <c r="I28" s="28"/>
      <c r="J28" t="s" s="48">
        <v>67</v>
      </c>
      <c r="K28" t="s" s="49">
        <f>M27</f>
        <v>64</v>
      </c>
      <c r="L28" t="s" s="49">
        <v>68</v>
      </c>
      <c r="M28" t="s" s="49">
        <f>IF(O28&gt;0,"raised","paid")</f>
        <v>69</v>
      </c>
      <c r="N28" t="s" s="49">
        <v>65</v>
      </c>
      <c r="O28" s="19">
        <f>SUM(B14:B18)/5</f>
        <v>7.46</v>
      </c>
      <c r="P28" t="s" s="49">
        <f>P27</f>
        <v>61</v>
      </c>
      <c r="Q28" t="s" s="49">
        <v>66</v>
      </c>
    </row>
    <row r="29" ht="44.05" customHeight="1">
      <c r="I29" s="28"/>
      <c r="J29" t="s" s="48">
        <v>70</v>
      </c>
      <c r="K29" t="s" s="49">
        <v>71</v>
      </c>
      <c r="L29" s="19">
        <f>MAX(E3:E18)</f>
        <v>17.1</v>
      </c>
      <c r="M29" t="s" s="49">
        <f>P28</f>
        <v>61</v>
      </c>
      <c r="N29" t="s" s="49">
        <v>72</v>
      </c>
      <c r="O29" s="19">
        <f>$A3</f>
        <v>2006</v>
      </c>
      <c r="P29" s="20"/>
      <c r="Q29" s="20"/>
    </row>
    <row r="30" ht="32.05" customHeight="1">
      <c r="I30" s="28"/>
      <c r="J30" t="s" s="48">
        <v>73</v>
      </c>
      <c r="K30" t="s" s="49">
        <f>K28</f>
        <v>64</v>
      </c>
      <c r="L30" t="s" s="49">
        <v>74</v>
      </c>
      <c r="M30" t="s" s="49">
        <v>75</v>
      </c>
      <c r="N30" t="s" s="49">
        <f>IF(P30&lt;L29,"down","up")</f>
        <v>76</v>
      </c>
      <c r="O30" t="s" s="49">
        <v>77</v>
      </c>
      <c r="P30" s="19">
        <f>E18</f>
        <v>-139.3</v>
      </c>
      <c r="Q30" t="s" s="49">
        <f>P28</f>
        <v>61</v>
      </c>
    </row>
    <row r="31" ht="32.05" customHeight="1">
      <c r="I31" s="28"/>
      <c r="J31" t="s" s="48">
        <v>14</v>
      </c>
      <c r="K31" s="19">
        <f>P35</f>
        <v>-2409.9</v>
      </c>
      <c r="L31" t="s" s="49">
        <f>Q30</f>
        <v>61</v>
      </c>
      <c r="M31" t="s" s="49">
        <f>IF(K31&gt;0,"raised","paid")</f>
        <v>62</v>
      </c>
      <c r="N31" s="20"/>
      <c r="O31" s="20"/>
      <c r="P31" s="20"/>
      <c r="Q31" s="20"/>
    </row>
    <row r="32" ht="32.05" customHeight="1">
      <c r="I32" s="28"/>
      <c r="J32" t="s" s="48">
        <f>J27</f>
        <v>53</v>
      </c>
      <c r="K32" t="s" s="49">
        <v>63</v>
      </c>
      <c r="L32" t="s" s="49">
        <f>IF(O32&gt;0,"raised","paid")</f>
        <v>62</v>
      </c>
      <c r="M32" t="s" s="49">
        <v>78</v>
      </c>
      <c r="N32" t="s" s="49">
        <f>N27</f>
        <v>65</v>
      </c>
      <c r="O32" s="19">
        <f>SUM(C3:C18)/16</f>
        <v>-150.61875</v>
      </c>
      <c r="P32" t="s" s="49">
        <f>P27</f>
        <v>61</v>
      </c>
      <c r="Q32" t="s" s="49">
        <f>Q27</f>
        <v>66</v>
      </c>
    </row>
    <row r="33" ht="32.05" customHeight="1">
      <c r="I33" s="28"/>
      <c r="J33" t="s" s="48">
        <v>67</v>
      </c>
      <c r="K33" t="s" s="49">
        <f>M32</f>
        <v>78</v>
      </c>
      <c r="L33" t="s" s="49">
        <v>79</v>
      </c>
      <c r="M33" t="s" s="49">
        <f>IF(O33&gt;0,"raised","paid")</f>
        <v>62</v>
      </c>
      <c r="N33" t="s" s="49">
        <v>65</v>
      </c>
      <c r="O33" s="19">
        <f>SUM(C14:C18)/5</f>
        <v>-166.68</v>
      </c>
      <c r="P33" t="s" s="49">
        <f>P32</f>
        <v>61</v>
      </c>
      <c r="Q33" t="s" s="49">
        <v>66</v>
      </c>
    </row>
    <row r="34" ht="44.05" customHeight="1">
      <c r="I34" s="28"/>
      <c r="J34" t="s" s="48">
        <v>80</v>
      </c>
      <c r="K34" t="s" s="49">
        <v>71</v>
      </c>
      <c r="L34" s="19">
        <f>MAX(F3:F18)</f>
        <v>274.5</v>
      </c>
      <c r="M34" t="s" s="49">
        <f>P33</f>
        <v>61</v>
      </c>
      <c r="N34" t="s" s="49">
        <v>72</v>
      </c>
      <c r="O34" s="19">
        <f>$A4</f>
        <v>2007</v>
      </c>
      <c r="P34" s="20"/>
      <c r="Q34" s="20"/>
    </row>
    <row r="35" ht="32.05" customHeight="1">
      <c r="I35" s="28"/>
      <c r="J35" t="s" s="48">
        <v>73</v>
      </c>
      <c r="K35" t="s" s="49">
        <f>K33</f>
        <v>78</v>
      </c>
      <c r="L35" t="s" s="49">
        <v>74</v>
      </c>
      <c r="M35" t="s" s="49">
        <v>81</v>
      </c>
      <c r="N35" t="s" s="49">
        <f>IF(P35&lt;L34,"down","up")</f>
        <v>76</v>
      </c>
      <c r="O35" t="s" s="49">
        <v>77</v>
      </c>
      <c r="P35" s="19">
        <f>F18</f>
        <v>-2409.9</v>
      </c>
      <c r="Q35" t="s" s="49">
        <f>P33</f>
        <v>61</v>
      </c>
    </row>
    <row r="36" ht="32.05" customHeight="1">
      <c r="I36" s="28"/>
      <c r="J36" t="s" s="48">
        <v>82</v>
      </c>
      <c r="K36" s="19">
        <f>P40</f>
        <v>-2549.2</v>
      </c>
      <c r="L36" t="s" s="49">
        <f>Q35</f>
        <v>61</v>
      </c>
      <c r="M36" t="s" s="49">
        <f>IF(K36&gt;0,"raised","paid")</f>
        <v>62</v>
      </c>
      <c r="N36" s="20"/>
      <c r="O36" s="20"/>
      <c r="P36" s="20"/>
      <c r="Q36" s="20"/>
    </row>
    <row r="37" ht="32.05" customHeight="1">
      <c r="I37" s="28"/>
      <c r="J37" t="s" s="48">
        <f>J32</f>
        <v>53</v>
      </c>
      <c r="K37" t="s" s="49">
        <v>63</v>
      </c>
      <c r="L37" t="s" s="49">
        <f>IF(O37&gt;0,"raised","paid")</f>
        <v>62</v>
      </c>
      <c r="M37" t="s" s="49">
        <v>83</v>
      </c>
      <c r="N37" t="s" s="49">
        <f>N32</f>
        <v>65</v>
      </c>
      <c r="O37" s="19">
        <f>AVERAGE(D3:D18)</f>
        <v>-159.325</v>
      </c>
      <c r="P37" t="s" s="49">
        <f>P32</f>
        <v>61</v>
      </c>
      <c r="Q37" t="s" s="49">
        <f>Q32</f>
        <v>66</v>
      </c>
    </row>
    <row r="38" ht="32.05" customHeight="1">
      <c r="I38" s="28"/>
      <c r="J38" t="s" s="48">
        <v>67</v>
      </c>
      <c r="K38" t="s" s="49">
        <f>M37</f>
        <v>83</v>
      </c>
      <c r="L38" t="s" s="49">
        <v>79</v>
      </c>
      <c r="M38" t="s" s="49">
        <f>IF(O38&gt;0,"raised","paid")</f>
        <v>62</v>
      </c>
      <c r="N38" t="s" s="49">
        <v>65</v>
      </c>
      <c r="O38" s="19">
        <f>AVERAGE(D14:D18)</f>
        <v>-159.22</v>
      </c>
      <c r="P38" t="s" s="49">
        <f>P37</f>
        <v>61</v>
      </c>
      <c r="Q38" t="s" s="49">
        <v>66</v>
      </c>
    </row>
    <row r="39" ht="44.05" customHeight="1">
      <c r="I39" s="28"/>
      <c r="J39" t="s" s="48">
        <v>84</v>
      </c>
      <c r="K39" t="s" s="49">
        <v>71</v>
      </c>
      <c r="L39" s="19">
        <f>MAX(G3:G18)</f>
        <v>189.8</v>
      </c>
      <c r="M39" t="s" s="49">
        <f>P38</f>
        <v>61</v>
      </c>
      <c r="N39" t="s" s="49">
        <v>72</v>
      </c>
      <c r="O39" s="19">
        <f>$A4</f>
        <v>2007</v>
      </c>
      <c r="P39" s="20"/>
      <c r="Q39" s="20"/>
    </row>
    <row r="40" ht="32.05" customHeight="1">
      <c r="I40" s="28"/>
      <c r="J40" t="s" s="48">
        <v>73</v>
      </c>
      <c r="K40" t="s" s="49">
        <f>K38</f>
        <v>83</v>
      </c>
      <c r="L40" t="s" s="49">
        <v>74</v>
      </c>
      <c r="M40" t="s" s="49">
        <v>81</v>
      </c>
      <c r="N40" t="s" s="49">
        <f>IF(P40&lt;L39,"down","up")</f>
        <v>76</v>
      </c>
      <c r="O40" t="s" s="49">
        <v>77</v>
      </c>
      <c r="P40" s="19">
        <f>G18</f>
        <v>-2549.2</v>
      </c>
      <c r="Q40" t="s" s="49">
        <f>P38</f>
        <v>61</v>
      </c>
    </row>
  </sheetData>
  <mergeCells count="2">
    <mergeCell ref="A1:H1"/>
    <mergeCell ref="I20:Q2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