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<sst xmlns="http://schemas.openxmlformats.org/spreadsheetml/2006/main" uniqueCount="55">
  <si>
    <t>Financial model</t>
  </si>
  <si>
    <t>Rpbn</t>
  </si>
  <si>
    <t>4Q 2022</t>
  </si>
  <si>
    <t>Cashflow</t>
  </si>
  <si>
    <t>Growth</t>
  </si>
  <si>
    <t>Sales</t>
  </si>
  <si>
    <t xml:space="preserve">Cost ratio </t>
  </si>
  <si>
    <t>Cash costs</t>
  </si>
  <si>
    <t xml:space="preserve">Operating </t>
  </si>
  <si>
    <t xml:space="preserve">Investment </t>
  </si>
  <si>
    <t>Leases</t>
  </si>
  <si>
    <t xml:space="preserve">Financial 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</si>
  <si>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</si>
  <si>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</si>
  <si>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</si>
  <si>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</si>
  <si>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</si>
  <si>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Beginning </t>
  </si>
  <si>
    <t>Change</t>
  </si>
  <si>
    <t xml:space="preserve">Ending </t>
  </si>
  <si>
    <t>Profit</t>
  </si>
  <si>
    <t>Non cash costs</t>
  </si>
  <si>
    <t xml:space="preserve">Profit </t>
  </si>
  <si>
    <t>Balance sheet</t>
  </si>
  <si>
    <t>Other assets</t>
  </si>
  <si>
    <t xml:space="preserve">Depreciation </t>
  </si>
  <si>
    <t>Net other assets</t>
  </si>
  <si>
    <t>Check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</si>
  <si>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</si>
  <si>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</si>
  <si>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</si>
  <si>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</si>
  <si>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</si>
  <si>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</si>
  <si>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Cashflow 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</si>
  <si>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</si>
  <si>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</si>
  <si>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</si>
  <si>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</si>
  <si>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</si>
  <si>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</si>
  <si>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</si>
  <si>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</si>
  <si>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</si>
  <si>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Non cash costs </t>
  </si>
  <si>
    <t xml:space="preserve">Sales growth </t>
  </si>
  <si>
    <t xml:space="preserve">Receipts </t>
  </si>
  <si>
    <t xml:space="preserve">Free cashflow </t>
  </si>
  <si>
    <t>Cash</t>
  </si>
  <si>
    <t>Assets</t>
  </si>
  <si>
    <t xml:space="preserve">Other assets </t>
  </si>
  <si>
    <t xml:space="preserve">Check </t>
  </si>
  <si>
    <t>Share price</t>
  </si>
  <si>
    <t>ISSP</t>
  </si>
  <si>
    <t>Target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</si>
</sst>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#,##0.0"/>
    <numFmt numFmtId="61" formatCode="#,##0%_);[Red]\(#,##0%\)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573293</xdr:colOff>
      <xdr:row>0</xdr:row>
      <xdr:rowOff>295809</xdr:rowOff>
    </xdr:from>
    <xdr:to>
      <xdr:col>12</xdr:col>
      <xdr:colOff>547700</xdr:colOff>
      <xdr:row>48</xdr:row>
      <xdr:rowOff>16001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345193" y="295809"/>
          <a:ext cx="8686608" cy="1204427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8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5.5469" style="1" customWidth="1"/>
    <col min="2" max="5" width="8.5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s="4"/>
      <c r="C2" s="4"/>
      <c r="D2" t="s" s="5">
        <v>2</v>
      </c>
      <c r="E2" s="6"/>
    </row>
    <row r="3" ht="20.25" customHeight="1">
      <c r="A3" t="s" s="7">
        <v>3</v>
      </c>
      <c r="B3" s="8">
        <f>AVERAGE('Sales'!G17:G20)</f>
        <v>0.186818683859263</v>
      </c>
      <c r="C3" s="9"/>
      <c r="D3" s="9"/>
      <c r="E3" s="10">
        <f>AVERAGE(B4:E4)</f>
        <v>0.0225</v>
      </c>
    </row>
    <row r="4" ht="20.05" customHeight="1">
      <c r="A4" t="s" s="11">
        <v>4</v>
      </c>
      <c r="B4" s="12">
        <v>-0.02</v>
      </c>
      <c r="C4" s="13">
        <v>0.05</v>
      </c>
      <c r="D4" s="13">
        <v>0.1</v>
      </c>
      <c r="E4" s="13">
        <v>-0.04</v>
      </c>
    </row>
    <row r="5" ht="20.05" customHeight="1">
      <c r="A5" t="s" s="11">
        <v>5</v>
      </c>
      <c r="B5" s="14">
        <f>'Sales'!C20*(1+B4)</f>
        <v>1971.662</v>
      </c>
      <c r="C5" s="15">
        <f>B5*(1+C4)</f>
        <v>2070.2451</v>
      </c>
      <c r="D5" s="15">
        <f>C5*(1+D4)</f>
        <v>2277.26961</v>
      </c>
      <c r="E5" s="15">
        <f>D5*(1+E4)</f>
        <v>2186.1788256</v>
      </c>
    </row>
    <row r="6" ht="20.05" customHeight="1">
      <c r="A6" t="s" s="11">
        <v>6</v>
      </c>
      <c r="B6" s="16">
        <f>'Sales'!I20</f>
        <v>-0.895277574722523</v>
      </c>
      <c r="C6" s="17">
        <f>B6</f>
        <v>-0.895277574722523</v>
      </c>
      <c r="D6" s="17">
        <f>C6</f>
        <v>-0.895277574722523</v>
      </c>
      <c r="E6" s="17">
        <f>D6</f>
        <v>-0.895277574722523</v>
      </c>
    </row>
    <row r="7" ht="20.05" customHeight="1">
      <c r="A7" t="s" s="11">
        <v>7</v>
      </c>
      <c r="B7" s="18">
        <f>B5*B6</f>
        <v>-1765.184773532560</v>
      </c>
      <c r="C7" s="19">
        <f>C5*C6</f>
        <v>-1853.444012209190</v>
      </c>
      <c r="D7" s="19">
        <f>D5*D6</f>
        <v>-2038.788413430110</v>
      </c>
      <c r="E7" s="19">
        <f>E5*E6</f>
        <v>-1957.2368768929</v>
      </c>
    </row>
    <row r="8" ht="20.05" customHeight="1">
      <c r="A8" t="s" s="11">
        <v>8</v>
      </c>
      <c r="B8" s="18">
        <f>B5+B7</f>
        <v>206.477226467440</v>
      </c>
      <c r="C8" s="19">
        <f>C5+C7</f>
        <v>216.801087790810</v>
      </c>
      <c r="D8" s="19">
        <f>D5+D7</f>
        <v>238.481196569890</v>
      </c>
      <c r="E8" s="19">
        <f>E5+E7</f>
        <v>228.9419487071</v>
      </c>
    </row>
    <row r="9" ht="20.05" customHeight="1">
      <c r="A9" t="s" s="11">
        <v>9</v>
      </c>
      <c r="B9" s="18">
        <f>SUM('Cashflow'!E20)</f>
        <v>-46</v>
      </c>
      <c r="C9" s="19">
        <f>B9</f>
        <v>-46</v>
      </c>
      <c r="D9" s="19">
        <f>C9</f>
        <v>-46</v>
      </c>
      <c r="E9" s="19">
        <f>D9</f>
        <v>-46</v>
      </c>
    </row>
    <row r="10" ht="20.05" customHeight="1">
      <c r="A10" t="s" s="11">
        <v>10</v>
      </c>
      <c r="B10" s="18">
        <f>AVERAGE('Cashflow'!F20)</f>
        <v>-2.5</v>
      </c>
      <c r="C10" s="19">
        <f>B10</f>
        <v>-2.5</v>
      </c>
      <c r="D10" s="19">
        <f>C10</f>
        <v>-2.5</v>
      </c>
      <c r="E10" s="19">
        <f>D10</f>
        <v>-2.5</v>
      </c>
    </row>
    <row r="11" ht="20.05" customHeight="1">
      <c r="A11" t="s" s="11">
        <v>11</v>
      </c>
      <c r="B11" s="18">
        <f>B12+B15+B13</f>
        <v>-160.477226467440</v>
      </c>
      <c r="C11" s="19">
        <f>C12+C15+C13</f>
        <v>-170.801087790810</v>
      </c>
      <c r="D11" s="19">
        <f>D12+D15+D13</f>
        <v>-192.481196569890</v>
      </c>
      <c r="E11" s="19">
        <f>E12+E15+E13</f>
        <v>-182.9419487071</v>
      </c>
    </row>
    <row r="12" ht="20.05" customHeight="1">
      <c r="A12" t="s" s="11">
        <v>12</v>
      </c>
      <c r="B12" s="18">
        <f>-'Balance sheet'!G16/20</f>
        <v>-165.35</v>
      </c>
      <c r="C12" s="19">
        <f>-B27/20</f>
        <v>-157.0825</v>
      </c>
      <c r="D12" s="19">
        <f>-C27/20</f>
        <v>-149.228375</v>
      </c>
      <c r="E12" s="19">
        <f>-D27/20</f>
        <v>-141.76695625</v>
      </c>
    </row>
    <row r="13" ht="20.05" customHeight="1">
      <c r="A13" t="s" s="11">
        <v>13</v>
      </c>
      <c r="B13" s="18">
        <f>-MIN(0,B16)</f>
        <v>40.588218826048</v>
      </c>
      <c r="C13" s="19">
        <f>-MIN(B28,C16)</f>
        <v>24.061629767352</v>
      </c>
      <c r="D13" s="19">
        <f>-MIN(C28,D16)</f>
        <v>-1.136582255912</v>
      </c>
      <c r="E13" s="19">
        <f>-MIN(D28,E16)</f>
        <v>-0.966602715680</v>
      </c>
    </row>
    <row r="14" ht="20.05" customHeight="1">
      <c r="A14" t="s" s="11">
        <v>14</v>
      </c>
      <c r="B14" s="20">
        <v>0.2</v>
      </c>
      <c r="C14" s="19"/>
      <c r="D14" s="19"/>
      <c r="E14" s="19"/>
    </row>
    <row r="15" ht="20.05" customHeight="1">
      <c r="A15" t="s" s="11">
        <v>15</v>
      </c>
      <c r="B15" s="18">
        <f>IF(B22&gt;0,-B22*$B$14,0)</f>
        <v>-35.715445293488</v>
      </c>
      <c r="C15" s="19">
        <f>IF(C22&gt;0,-C22*$B$14,0)</f>
        <v>-37.780217558162</v>
      </c>
      <c r="D15" s="19">
        <f>IF(D22&gt;0,-D22*$B$14,0)</f>
        <v>-42.116239313978</v>
      </c>
      <c r="E15" s="19">
        <f>IF(E22&gt;0,-E22*$B$14,0)</f>
        <v>-40.208389741420</v>
      </c>
    </row>
    <row r="16" ht="20.05" customHeight="1">
      <c r="A16" t="s" s="11">
        <v>16</v>
      </c>
      <c r="B16" s="18">
        <f>B8+B9+B12+B15</f>
        <v>-40.588218826048</v>
      </c>
      <c r="C16" s="19">
        <f>C8+C9+C12+C15</f>
        <v>-24.061629767352</v>
      </c>
      <c r="D16" s="19">
        <f>D8+D9+D12+D15</f>
        <v>1.136582255912</v>
      </c>
      <c r="E16" s="19">
        <f>E8+E9+E12+E15</f>
        <v>0.966602715680</v>
      </c>
    </row>
    <row r="17" ht="20.05" customHeight="1">
      <c r="A17" t="s" s="11">
        <v>17</v>
      </c>
      <c r="B17" s="18">
        <f>'Balance sheet'!C16</f>
        <v>28</v>
      </c>
      <c r="C17" s="19">
        <f>B19</f>
        <v>28</v>
      </c>
      <c r="D17" s="19">
        <f>C19</f>
        <v>28</v>
      </c>
      <c r="E17" s="19">
        <f>D19</f>
        <v>28</v>
      </c>
    </row>
    <row r="18" ht="20.05" customHeight="1">
      <c r="A18" t="s" s="11">
        <v>18</v>
      </c>
      <c r="B18" s="18">
        <f>B8+B9+B11</f>
        <v>0</v>
      </c>
      <c r="C18" s="19">
        <f>C8+C9+C11</f>
        <v>0</v>
      </c>
      <c r="D18" s="19">
        <f>D8+D9+D11</f>
        <v>0</v>
      </c>
      <c r="E18" s="19">
        <f>E8+E9+E11</f>
        <v>0</v>
      </c>
    </row>
    <row r="19" ht="20.05" customHeight="1">
      <c r="A19" t="s" s="11">
        <v>19</v>
      </c>
      <c r="B19" s="18">
        <f>B17+B18</f>
        <v>28</v>
      </c>
      <c r="C19" s="19">
        <f>C17+C18</f>
        <v>28</v>
      </c>
      <c r="D19" s="19">
        <f>D17+D18</f>
        <v>28</v>
      </c>
      <c r="E19" s="19">
        <f>E17+E18</f>
        <v>28</v>
      </c>
    </row>
    <row r="20" ht="20.05" customHeight="1">
      <c r="A20" t="s" s="21">
        <v>20</v>
      </c>
      <c r="B20" s="18"/>
      <c r="C20" s="19"/>
      <c r="D20" s="19"/>
      <c r="E20" s="22"/>
    </row>
    <row r="21" ht="20.05" customHeight="1">
      <c r="A21" t="s" s="11">
        <v>21</v>
      </c>
      <c r="B21" s="18">
        <f>-AVERAGE('Sales'!E20)</f>
        <v>-27.9</v>
      </c>
      <c r="C21" s="19">
        <f>B21</f>
        <v>-27.9</v>
      </c>
      <c r="D21" s="19">
        <f>C21</f>
        <v>-27.9</v>
      </c>
      <c r="E21" s="19">
        <f>D21</f>
        <v>-27.9</v>
      </c>
    </row>
    <row r="22" ht="20.05" customHeight="1">
      <c r="A22" t="s" s="11">
        <v>22</v>
      </c>
      <c r="B22" s="18">
        <f>B5+B7+B21</f>
        <v>178.577226467440</v>
      </c>
      <c r="C22" s="19">
        <f>C5+C7+C21</f>
        <v>188.901087790810</v>
      </c>
      <c r="D22" s="19">
        <f>D5+D7+D21</f>
        <v>210.581196569890</v>
      </c>
      <c r="E22" s="19">
        <f>E5+E7+E21</f>
        <v>201.0419487071</v>
      </c>
    </row>
    <row r="23" ht="20.05" customHeight="1">
      <c r="A23" t="s" s="21">
        <v>23</v>
      </c>
      <c r="B23" s="18"/>
      <c r="C23" s="19"/>
      <c r="D23" s="19"/>
      <c r="E23" s="19"/>
    </row>
    <row r="24" ht="20.05" customHeight="1">
      <c r="A24" t="s" s="11">
        <v>24</v>
      </c>
      <c r="B24" s="18">
        <f>'Balance sheet'!E16+'Balance sheet'!F16-B9</f>
        <v>7522</v>
      </c>
      <c r="C24" s="19">
        <f>B24-C9</f>
        <v>7568</v>
      </c>
      <c r="D24" s="19">
        <f>C24-D9</f>
        <v>7614</v>
      </c>
      <c r="E24" s="19">
        <f>D24-E9</f>
        <v>7660</v>
      </c>
    </row>
    <row r="25" ht="20.05" customHeight="1">
      <c r="A25" t="s" s="11">
        <v>25</v>
      </c>
      <c r="B25" s="18">
        <f>'Balance sheet'!F16-B21</f>
        <v>317.9</v>
      </c>
      <c r="C25" s="19">
        <f>B25-C21</f>
        <v>345.8</v>
      </c>
      <c r="D25" s="19">
        <f>C25-D21</f>
        <v>373.7</v>
      </c>
      <c r="E25" s="19">
        <f>D25-E21</f>
        <v>401.6</v>
      </c>
    </row>
    <row r="26" ht="20.05" customHeight="1">
      <c r="A26" t="s" s="11">
        <v>26</v>
      </c>
      <c r="B26" s="18">
        <f>B24-B25</f>
        <v>7204.1</v>
      </c>
      <c r="C26" s="19">
        <f>C24-C25</f>
        <v>7222.2</v>
      </c>
      <c r="D26" s="19">
        <f>D24-D25</f>
        <v>7240.3</v>
      </c>
      <c r="E26" s="19">
        <f>E24-E25</f>
        <v>7258.4</v>
      </c>
    </row>
    <row r="27" ht="20.05" customHeight="1">
      <c r="A27" t="s" s="11">
        <v>12</v>
      </c>
      <c r="B27" s="18">
        <f>'Balance sheet'!G16+B12</f>
        <v>3141.65</v>
      </c>
      <c r="C27" s="19">
        <f>B27+C12</f>
        <v>2984.5675</v>
      </c>
      <c r="D27" s="19">
        <f>C27+D12</f>
        <v>2835.339125</v>
      </c>
      <c r="E27" s="19">
        <f>D27+E12</f>
        <v>2693.57216875</v>
      </c>
    </row>
    <row r="28" ht="20.05" customHeight="1">
      <c r="A28" t="s" s="11">
        <v>13</v>
      </c>
      <c r="B28" s="18">
        <f>B13</f>
        <v>40.588218826048</v>
      </c>
      <c r="C28" s="19">
        <f>B28+C13</f>
        <v>64.64984859339999</v>
      </c>
      <c r="D28" s="19">
        <f>C28+D13</f>
        <v>63.513266337488</v>
      </c>
      <c r="E28" s="19">
        <f>D28+E13</f>
        <v>62.546663621808</v>
      </c>
    </row>
    <row r="29" ht="20.05" customHeight="1">
      <c r="A29" t="s" s="11">
        <v>15</v>
      </c>
      <c r="B29" s="18">
        <f>'Balance sheet'!H16+B22+B15</f>
        <v>4049.861781173950</v>
      </c>
      <c r="C29" s="19">
        <f>B29+C22+C15</f>
        <v>4200.9826514066</v>
      </c>
      <c r="D29" s="19">
        <f>C29+D22+D15</f>
        <v>4369.447608662510</v>
      </c>
      <c r="E29" s="19">
        <f>D29+E22+E15</f>
        <v>4530.281167628190</v>
      </c>
    </row>
    <row r="30" ht="20.05" customHeight="1">
      <c r="A30" t="s" s="11">
        <v>27</v>
      </c>
      <c r="B30" s="18">
        <f>B27+B28+B29-B19-B26</f>
        <v>-2e-12</v>
      </c>
      <c r="C30" s="19">
        <f>C27+C28+C29-C19-C26</f>
        <v>0</v>
      </c>
      <c r="D30" s="19">
        <f>D27+D28+D29-D19-D26</f>
        <v>-2e-12</v>
      </c>
      <c r="E30" s="19">
        <f>E27+E28+E29-E19-E26</f>
        <v>-2e-12</v>
      </c>
    </row>
    <row r="31" ht="20.05" customHeight="1">
      <c r="A31" t="s" s="11">
        <v>28</v>
      </c>
      <c r="B31" s="18">
        <f>B19-B27-B28</f>
        <v>-3154.238218826050</v>
      </c>
      <c r="C31" s="19">
        <f>C19-C27-C28</f>
        <v>-3021.2173485934</v>
      </c>
      <c r="D31" s="19">
        <f>D19-D27-D28</f>
        <v>-2870.852391337490</v>
      </c>
      <c r="E31" s="19">
        <f>E19-E27-E28</f>
        <v>-2728.118832371810</v>
      </c>
    </row>
    <row r="32" ht="20.05" customHeight="1">
      <c r="A32" t="s" s="21">
        <v>29</v>
      </c>
      <c r="B32" s="18"/>
      <c r="C32" s="19"/>
      <c r="D32" s="19"/>
      <c r="E32" s="19"/>
    </row>
    <row r="33" ht="20.05" customHeight="1">
      <c r="A33" t="s" s="11">
        <v>30</v>
      </c>
      <c r="B33" s="18">
        <f>'Cashflow'!L20-B11</f>
        <v>189.477226467440</v>
      </c>
      <c r="C33" s="19">
        <f>B33-C11</f>
        <v>360.278314258250</v>
      </c>
      <c r="D33" s="19">
        <f>C33-D11</f>
        <v>552.759510828140</v>
      </c>
      <c r="E33" s="19">
        <f>D33-E11</f>
        <v>735.701459535240</v>
      </c>
    </row>
    <row r="34" ht="20.05" customHeight="1">
      <c r="A34" t="s" s="11">
        <v>31</v>
      </c>
      <c r="B34" s="18"/>
      <c r="C34" s="19"/>
      <c r="D34" s="19"/>
      <c r="E34" s="19">
        <v>2232647417856</v>
      </c>
    </row>
    <row r="35" ht="20.05" customHeight="1">
      <c r="A35" t="s" s="11">
        <v>31</v>
      </c>
      <c r="B35" s="18"/>
      <c r="C35" s="19"/>
      <c r="D35" s="19"/>
      <c r="E35" s="19">
        <f>E34/1000000000</f>
        <v>2232.647417856</v>
      </c>
    </row>
    <row r="36" ht="20.05" customHeight="1">
      <c r="A36" t="s" s="11">
        <v>32</v>
      </c>
      <c r="B36" s="18"/>
      <c r="C36" s="19"/>
      <c r="D36" s="19"/>
      <c r="E36" s="23">
        <f>E35/(E19+E26)</f>
        <v>0.306412963583663</v>
      </c>
    </row>
    <row r="37" ht="20.05" customHeight="1">
      <c r="A37" t="s" s="11">
        <v>33</v>
      </c>
      <c r="B37" s="18"/>
      <c r="C37" s="19"/>
      <c r="D37" s="19"/>
      <c r="E37" s="17">
        <f>-(B15+C15+D15+E15)/E35</f>
        <v>0.0697917148318392</v>
      </c>
    </row>
    <row r="38" ht="20.05" customHeight="1">
      <c r="A38" t="s" s="11">
        <v>34</v>
      </c>
      <c r="B38" s="18"/>
      <c r="C38" s="19"/>
      <c r="D38" s="19"/>
      <c r="E38" s="19">
        <f>SUM(B8:E10)</f>
        <v>696.701459535240</v>
      </c>
    </row>
    <row r="39" ht="20.05" customHeight="1">
      <c r="A39" t="s" s="11">
        <v>35</v>
      </c>
      <c r="B39" s="18"/>
      <c r="C39" s="19"/>
      <c r="D39" s="19"/>
      <c r="E39" s="19">
        <f>'Balance sheet'!E16/E38</f>
        <v>10.3143174191047</v>
      </c>
    </row>
    <row r="40" ht="20.05" customHeight="1">
      <c r="A40" t="s" s="11">
        <v>29</v>
      </c>
      <c r="B40" s="18"/>
      <c r="C40" s="19"/>
      <c r="D40" s="19"/>
      <c r="E40" s="19">
        <f>E35/E38</f>
        <v>3.20459701540653</v>
      </c>
    </row>
    <row r="41" ht="20.05" customHeight="1">
      <c r="A41" t="s" s="11">
        <v>36</v>
      </c>
      <c r="B41" s="18"/>
      <c r="C41" s="19"/>
      <c r="D41" s="19"/>
      <c r="E41" s="19">
        <v>4</v>
      </c>
    </row>
    <row r="42" ht="20.05" customHeight="1">
      <c r="A42" t="s" s="11">
        <v>37</v>
      </c>
      <c r="B42" s="18"/>
      <c r="C42" s="19"/>
      <c r="D42" s="19"/>
      <c r="E42" s="19">
        <f>E38*E41</f>
        <v>2786.805838140960</v>
      </c>
    </row>
    <row r="43" ht="20.05" customHeight="1">
      <c r="A43" t="s" s="11">
        <v>38</v>
      </c>
      <c r="B43" s="18"/>
      <c r="C43" s="19"/>
      <c r="D43" s="19"/>
      <c r="E43" s="19">
        <f>E35/E45</f>
        <v>7.06533992992405</v>
      </c>
    </row>
    <row r="44" ht="20.05" customHeight="1">
      <c r="A44" t="s" s="11">
        <v>39</v>
      </c>
      <c r="B44" s="18"/>
      <c r="C44" s="19"/>
      <c r="D44" s="19"/>
      <c r="E44" s="19">
        <f>E42/E43</f>
        <v>394.433369913019</v>
      </c>
    </row>
    <row r="45" ht="20.05" customHeight="1">
      <c r="A45" t="s" s="11">
        <v>40</v>
      </c>
      <c r="B45" s="18"/>
      <c r="C45" s="19"/>
      <c r="D45" s="19"/>
      <c r="E45" s="19">
        <v>316</v>
      </c>
    </row>
    <row r="46" ht="20.05" customHeight="1">
      <c r="A46" t="s" s="11">
        <v>41</v>
      </c>
      <c r="B46" s="18"/>
      <c r="C46" s="19"/>
      <c r="D46" s="19"/>
      <c r="E46" s="17">
        <f>E44/E45-1</f>
        <v>0.248206866813351</v>
      </c>
    </row>
    <row r="47" ht="20.05" customHeight="1">
      <c r="A47" t="s" s="11">
        <v>42</v>
      </c>
      <c r="B47" s="18"/>
      <c r="C47" s="19"/>
      <c r="D47" s="19"/>
      <c r="E47" s="17">
        <f>'Sales'!C20/'Sales'!C16-1</f>
        <v>0.883801498127341</v>
      </c>
    </row>
    <row r="48" ht="20.05" customHeight="1">
      <c r="A48" t="s" s="11">
        <v>43</v>
      </c>
      <c r="B48" s="24"/>
      <c r="C48" s="25"/>
      <c r="D48" s="25"/>
      <c r="E48" s="17">
        <f>'Sales'!F23/'Sales'!E23-1</f>
        <v>-0.130254005409082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B3:J2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27344" style="26" customWidth="1"/>
    <col min="2" max="4" width="11.5781" style="26" customWidth="1"/>
    <col min="5" max="6" width="11.75" style="26" customWidth="1"/>
    <col min="7" max="10" width="11.5781" style="26" customWidth="1"/>
    <col min="11" max="16384" width="16.3516" style="26" customWidth="1"/>
  </cols>
  <sheetData>
    <row r="1" ht="20.9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5</v>
      </c>
      <c r="D3" t="s" s="5">
        <v>36</v>
      </c>
      <c r="E3" t="s" s="5">
        <v>44</v>
      </c>
      <c r="F3" t="s" s="5">
        <v>22</v>
      </c>
      <c r="G3" t="s" s="5">
        <v>45</v>
      </c>
      <c r="H3" t="s" s="5">
        <v>6</v>
      </c>
      <c r="I3" t="s" s="5">
        <v>6</v>
      </c>
      <c r="J3" t="s" s="5">
        <v>36</v>
      </c>
    </row>
    <row r="4" ht="20.25" customHeight="1">
      <c r="B4" s="27">
        <v>2018</v>
      </c>
      <c r="C4" s="28">
        <v>1121</v>
      </c>
      <c r="D4" s="29"/>
      <c r="E4" s="30">
        <v>28.75</v>
      </c>
      <c r="F4" s="30">
        <v>12</v>
      </c>
      <c r="G4" s="31"/>
      <c r="H4" s="31">
        <f>(F4+E4-C4)/C4</f>
        <v>-0.963648528099911</v>
      </c>
      <c r="I4" s="31"/>
      <c r="J4" s="31"/>
    </row>
    <row r="5" ht="20.05" customHeight="1">
      <c r="B5" s="32"/>
      <c r="C5" s="14">
        <v>962</v>
      </c>
      <c r="D5" s="15"/>
      <c r="E5" s="25">
        <v>28.75</v>
      </c>
      <c r="F5" s="25">
        <v>1</v>
      </c>
      <c r="G5" s="17">
        <f>C5/C4-1</f>
        <v>-0.141837644959857</v>
      </c>
      <c r="H5" s="17">
        <f>(F5+E5-C5)/C5</f>
        <v>-0.969074844074844</v>
      </c>
      <c r="I5" s="17">
        <f>AVERAGE(H3:H5)</f>
        <v>-0.966361686087378</v>
      </c>
      <c r="J5" s="17"/>
    </row>
    <row r="6" ht="20.05" customHeight="1">
      <c r="B6" s="32"/>
      <c r="C6" s="14">
        <v>1303</v>
      </c>
      <c r="D6" s="15"/>
      <c r="E6" s="25">
        <v>28.75</v>
      </c>
      <c r="F6" s="25">
        <v>3</v>
      </c>
      <c r="G6" s="17">
        <f>C6/C5-1</f>
        <v>0.354469854469854</v>
      </c>
      <c r="H6" s="17">
        <f>(F6+E6-C6)/C6</f>
        <v>-0.975633154259401</v>
      </c>
      <c r="I6" s="17">
        <f>AVERAGE(H3:H6)</f>
        <v>-0.969452175478052</v>
      </c>
      <c r="J6" s="17"/>
    </row>
    <row r="7" ht="20.05" customHeight="1">
      <c r="B7" s="32"/>
      <c r="C7" s="14">
        <v>1082</v>
      </c>
      <c r="D7" s="15"/>
      <c r="E7" s="25">
        <v>28.75</v>
      </c>
      <c r="F7" s="25">
        <v>33</v>
      </c>
      <c r="G7" s="17">
        <f>C7/C6-1</f>
        <v>-0.169608595548734</v>
      </c>
      <c r="H7" s="17">
        <f>(F7+E7-C7)/C7</f>
        <v>-0.942929759704251</v>
      </c>
      <c r="I7" s="17">
        <f>AVERAGE(H4:H7)</f>
        <v>-0.962821571534602</v>
      </c>
      <c r="J7" s="17"/>
    </row>
    <row r="8" ht="20.05" customHeight="1">
      <c r="B8" s="33">
        <v>2019</v>
      </c>
      <c r="C8" s="14">
        <v>1230</v>
      </c>
      <c r="D8" s="15"/>
      <c r="E8" s="25">
        <v>26.75</v>
      </c>
      <c r="F8" s="25">
        <v>22</v>
      </c>
      <c r="G8" s="17">
        <f>C8/C7-1</f>
        <v>0.136783733826248</v>
      </c>
      <c r="H8" s="17">
        <f>(F8+E8-C8)/C8</f>
        <v>-0.960365853658537</v>
      </c>
      <c r="I8" s="17">
        <f>AVERAGE(H5:H8)</f>
        <v>-0.962000902924258</v>
      </c>
      <c r="J8" s="17"/>
    </row>
    <row r="9" ht="20.05" customHeight="1">
      <c r="B9" s="32"/>
      <c r="C9" s="14">
        <v>1061</v>
      </c>
      <c r="D9" s="34"/>
      <c r="E9" s="25">
        <v>26.75</v>
      </c>
      <c r="F9" s="25">
        <v>30</v>
      </c>
      <c r="G9" s="17">
        <f>C9/C8-1</f>
        <v>-0.13739837398374</v>
      </c>
      <c r="H9" s="17">
        <f>(F9+E9-C9)/C9</f>
        <v>-0.9465127238454289</v>
      </c>
      <c r="I9" s="17">
        <f>AVERAGE(H6:H9)</f>
        <v>-0.956360372866905</v>
      </c>
      <c r="J9" s="17"/>
    </row>
    <row r="10" ht="20.05" customHeight="1">
      <c r="B10" s="32"/>
      <c r="C10" s="14">
        <v>1319</v>
      </c>
      <c r="D10" s="34"/>
      <c r="E10" s="25">
        <v>26.75</v>
      </c>
      <c r="F10" s="25">
        <v>70</v>
      </c>
      <c r="G10" s="17">
        <f>C10/C9-1</f>
        <v>0.243166823751178</v>
      </c>
      <c r="H10" s="17">
        <f>(F10+E10-C10)/C10</f>
        <v>-0.926648976497346</v>
      </c>
      <c r="I10" s="17">
        <f>AVERAGE(H7:H10)</f>
        <v>-0.944114328426391</v>
      </c>
      <c r="J10" s="17"/>
    </row>
    <row r="11" ht="20.05" customHeight="1">
      <c r="B11" s="32"/>
      <c r="C11" s="14">
        <v>1276</v>
      </c>
      <c r="D11" s="34"/>
      <c r="E11" s="25">
        <v>26.75</v>
      </c>
      <c r="F11" s="25">
        <v>64</v>
      </c>
      <c r="G11" s="17">
        <f>C11/C10-1</f>
        <v>-0.0326004548900682</v>
      </c>
      <c r="H11" s="17">
        <f>(F11+E11-C11)/C11</f>
        <v>-0.928879310344828</v>
      </c>
      <c r="I11" s="17">
        <f>AVERAGE(H8:H11)</f>
        <v>-0.940601716086535</v>
      </c>
      <c r="J11" s="17"/>
    </row>
    <row r="12" ht="20.05" customHeight="1">
      <c r="B12" s="33">
        <v>2020</v>
      </c>
      <c r="C12" s="14">
        <v>1051</v>
      </c>
      <c r="D12" s="34"/>
      <c r="E12" s="25">
        <v>25.5</v>
      </c>
      <c r="F12" s="25">
        <v>-75</v>
      </c>
      <c r="G12" s="17">
        <f>C12/C11-1</f>
        <v>-0.176332288401254</v>
      </c>
      <c r="H12" s="17">
        <f>(F12+E12-C12)/C12</f>
        <v>-1.04709800190295</v>
      </c>
      <c r="I12" s="17">
        <f>AVERAGE(H9:H12)</f>
        <v>-0.962284753147638</v>
      </c>
      <c r="J12" s="17"/>
    </row>
    <row r="13" ht="20.05" customHeight="1">
      <c r="B13" s="32"/>
      <c r="C13" s="14">
        <v>615</v>
      </c>
      <c r="D13" s="34"/>
      <c r="E13" s="25">
        <v>25.5</v>
      </c>
      <c r="F13" s="25">
        <v>77.59999999999999</v>
      </c>
      <c r="G13" s="17">
        <f>C13/C12-1</f>
        <v>-0.414843006660324</v>
      </c>
      <c r="H13" s="17">
        <f>(F13+E13-C13)/C13</f>
        <v>-0.832357723577236</v>
      </c>
      <c r="I13" s="17">
        <f>AVERAGE(H10:H13)</f>
        <v>-0.93374600308059</v>
      </c>
      <c r="J13" s="17"/>
    </row>
    <row r="14" ht="20.05" customHeight="1">
      <c r="B14" s="32"/>
      <c r="C14" s="14">
        <v>1050</v>
      </c>
      <c r="D14" s="34"/>
      <c r="E14" s="25">
        <v>25.5</v>
      </c>
      <c r="F14" s="25">
        <v>46.4</v>
      </c>
      <c r="G14" s="17">
        <f>C14/C13-1</f>
        <v>0.707317073170732</v>
      </c>
      <c r="H14" s="17">
        <f>(F14+E14-C14)/C14</f>
        <v>-0.93152380952381</v>
      </c>
      <c r="I14" s="17">
        <f>AVERAGE(H11:H14)</f>
        <v>-0.934964711337206</v>
      </c>
      <c r="J14" s="17"/>
    </row>
    <row r="15" ht="20.05" customHeight="1">
      <c r="B15" s="32"/>
      <c r="C15" s="14">
        <v>1060</v>
      </c>
      <c r="D15" s="34"/>
      <c r="E15" s="25">
        <v>25.5</v>
      </c>
      <c r="F15" s="25">
        <v>127</v>
      </c>
      <c r="G15" s="17">
        <f>C15/C14-1</f>
        <v>0.009523809523809519</v>
      </c>
      <c r="H15" s="17">
        <f>(F15+E15-C15)/C15</f>
        <v>-0.856132075471698</v>
      </c>
      <c r="I15" s="17">
        <f>AVERAGE(H12:H15)</f>
        <v>-0.916777902618924</v>
      </c>
      <c r="J15" s="17"/>
    </row>
    <row r="16" ht="20.05" customHeight="1">
      <c r="B16" s="33">
        <v>2021</v>
      </c>
      <c r="C16" s="14">
        <v>1068</v>
      </c>
      <c r="D16" s="34"/>
      <c r="E16" s="25">
        <v>24</v>
      </c>
      <c r="F16" s="25">
        <v>109</v>
      </c>
      <c r="G16" s="17">
        <f>C16/C15-1</f>
        <v>0.00754716981132075</v>
      </c>
      <c r="H16" s="17">
        <f>(F16+E16-C16)/C16</f>
        <v>-0.875468164794007</v>
      </c>
      <c r="I16" s="17">
        <f>AVERAGE(H13:H16)</f>
        <v>-0.873870443341688</v>
      </c>
      <c r="J16" s="17"/>
    </row>
    <row r="17" ht="20.05" customHeight="1">
      <c r="B17" s="32"/>
      <c r="C17" s="14">
        <f>2190.5-C16</f>
        <v>1122.5</v>
      </c>
      <c r="D17" s="15">
        <v>1057.32</v>
      </c>
      <c r="E17" s="25">
        <v>37.3</v>
      </c>
      <c r="F17" s="25">
        <v>145.2</v>
      </c>
      <c r="G17" s="17">
        <f>C17/C16-1</f>
        <v>0.0510299625468165</v>
      </c>
      <c r="H17" s="17">
        <f>(F17+E17-C17)/C17</f>
        <v>-0.837416481069042</v>
      </c>
      <c r="I17" s="17">
        <f>AVERAGE(H14:H17)</f>
        <v>-0.8751351327146391</v>
      </c>
      <c r="J17" s="17"/>
    </row>
    <row r="18" ht="20.05" customHeight="1">
      <c r="B18" s="32"/>
      <c r="C18" s="14">
        <f>3814.7-SUM(C16:C17)</f>
        <v>1624.2</v>
      </c>
      <c r="D18" s="15">
        <v>1290.875</v>
      </c>
      <c r="E18" s="25">
        <v>30.4</v>
      </c>
      <c r="F18" s="25">
        <v>191.3</v>
      </c>
      <c r="G18" s="17">
        <f>C18/C17-1</f>
        <v>0.446948775055679</v>
      </c>
      <c r="H18" s="17">
        <f>(F18+E18-C18)/C18</f>
        <v>-0.863502031769487</v>
      </c>
      <c r="I18" s="17">
        <f>AVERAGE(H15:H18)</f>
        <v>-0.858129688276059</v>
      </c>
      <c r="J18" s="17"/>
    </row>
    <row r="19" ht="20.05" customHeight="1">
      <c r="B19" s="32"/>
      <c r="C19" s="14">
        <f>5378.8-SUM(C16:C18)</f>
        <v>1564.1</v>
      </c>
      <c r="D19" s="15">
        <v>1575.474</v>
      </c>
      <c r="E19" s="25">
        <v>31.5</v>
      </c>
      <c r="F19" s="25">
        <v>40.6</v>
      </c>
      <c r="G19" s="17">
        <f>C19/C18-1</f>
        <v>-0.0370028321635267</v>
      </c>
      <c r="H19" s="17">
        <f>(F19+E19-C19)/C19</f>
        <v>-0.953903203120005</v>
      </c>
      <c r="I19" s="17">
        <f>AVERAGE(H16:H19)</f>
        <v>-0.882572470188135</v>
      </c>
      <c r="J19" s="17"/>
    </row>
    <row r="20" ht="20.05" customHeight="1">
      <c r="B20" s="33">
        <v>2022</v>
      </c>
      <c r="C20" s="14">
        <v>2011.9</v>
      </c>
      <c r="D20" s="15">
        <v>1575.474</v>
      </c>
      <c r="E20" s="25">
        <v>27.9</v>
      </c>
      <c r="F20" s="25">
        <v>120.4</v>
      </c>
      <c r="G20" s="17">
        <f>C20/C19-1</f>
        <v>0.286298829998082</v>
      </c>
      <c r="H20" s="17">
        <f>(F20+E20-C20)/C20</f>
        <v>-0.926288582931557</v>
      </c>
      <c r="I20" s="17">
        <f>AVERAGE(H17:H20)</f>
        <v>-0.895277574722523</v>
      </c>
      <c r="J20" s="17">
        <v>-0.863502031769487</v>
      </c>
    </row>
    <row r="21" ht="20.05" customHeight="1">
      <c r="B21" s="32"/>
      <c r="C21" s="14"/>
      <c r="D21" s="15">
        <f>'Mode'!B5</f>
        <v>1971.662</v>
      </c>
      <c r="E21" s="25"/>
      <c r="F21" s="25"/>
      <c r="G21" s="17"/>
      <c r="H21" s="22"/>
      <c r="I21" s="22"/>
      <c r="J21" s="17">
        <f>'Mode'!B6</f>
        <v>-0.895277574722523</v>
      </c>
    </row>
    <row r="22" ht="20.05" customHeight="1">
      <c r="B22" s="32"/>
      <c r="C22" s="14"/>
      <c r="D22" s="15">
        <f>'Mode'!C5</f>
        <v>2070.2451</v>
      </c>
      <c r="E22" s="22"/>
      <c r="F22" s="22"/>
      <c r="G22" s="17"/>
      <c r="H22" s="17"/>
      <c r="I22" s="22"/>
      <c r="J22" s="22"/>
    </row>
    <row r="23" ht="20.05" customHeight="1">
      <c r="B23" s="32"/>
      <c r="C23" s="14"/>
      <c r="D23" s="15">
        <f>'Mode'!D5</f>
        <v>2277.26961</v>
      </c>
      <c r="E23" s="15">
        <f>SUM(C17:C20)</f>
        <v>6322.7</v>
      </c>
      <c r="F23" s="15">
        <f>SUM(D17:D20)</f>
        <v>5499.143</v>
      </c>
      <c r="G23" s="17"/>
      <c r="H23" s="17"/>
      <c r="I23" s="22"/>
      <c r="J23" s="22"/>
    </row>
    <row r="24" ht="20.05" customHeight="1">
      <c r="B24" s="33">
        <v>2023</v>
      </c>
      <c r="C24" s="14"/>
      <c r="D24" s="15">
        <f>'Mode'!E5</f>
        <v>2186.1788256</v>
      </c>
      <c r="E24" s="22"/>
      <c r="F24" s="22"/>
      <c r="G24" s="17"/>
      <c r="H24" s="17"/>
      <c r="I24" s="22"/>
      <c r="J24" s="22"/>
    </row>
  </sheetData>
  <mergeCells count="1">
    <mergeCell ref="B2:J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N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69531" style="35" customWidth="1"/>
    <col min="2" max="14" width="10.0625" style="35" customWidth="1"/>
    <col min="15" max="16384" width="16.3516" style="35" customWidth="1"/>
  </cols>
  <sheetData>
    <row r="1" ht="16.1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2.25" customHeight="1">
      <c r="B3" t="s" s="5">
        <v>1</v>
      </c>
      <c r="C3" t="s" s="5">
        <v>46</v>
      </c>
      <c r="D3" t="s" s="5">
        <v>8</v>
      </c>
      <c r="E3" t="s" s="5">
        <v>9</v>
      </c>
      <c r="F3" t="s" s="5">
        <v>10</v>
      </c>
      <c r="G3" t="s" s="5">
        <v>12</v>
      </c>
      <c r="H3" t="s" s="5">
        <v>15</v>
      </c>
      <c r="I3" t="s" s="5">
        <v>47</v>
      </c>
      <c r="J3" t="s" s="5">
        <v>34</v>
      </c>
      <c r="K3" t="s" s="5">
        <v>36</v>
      </c>
      <c r="L3" t="s" s="5">
        <v>30</v>
      </c>
      <c r="M3" t="s" s="5">
        <v>36</v>
      </c>
      <c r="N3" s="6"/>
    </row>
    <row r="4" ht="20.25" customHeight="1">
      <c r="B4" s="27">
        <v>2018</v>
      </c>
      <c r="C4" s="36">
        <v>1099</v>
      </c>
      <c r="D4" s="30">
        <v>-115</v>
      </c>
      <c r="E4" s="30">
        <v>-9</v>
      </c>
      <c r="F4" s="30">
        <v>0.5</v>
      </c>
      <c r="G4" s="30">
        <v>127.1</v>
      </c>
      <c r="H4" s="30"/>
      <c r="I4" s="30">
        <f>D4+E4+F4</f>
        <v>-123.5</v>
      </c>
      <c r="J4" s="30"/>
      <c r="K4" s="30"/>
      <c r="L4" s="30">
        <f>-(G4+H4)</f>
        <v>-127.1</v>
      </c>
      <c r="M4" s="30"/>
      <c r="N4" s="30">
        <v>1</v>
      </c>
    </row>
    <row r="5" ht="20.05" customHeight="1">
      <c r="B5" s="32"/>
      <c r="C5" s="24">
        <v>1152</v>
      </c>
      <c r="D5" s="25">
        <v>-215</v>
      </c>
      <c r="E5" s="25">
        <v>-12</v>
      </c>
      <c r="F5" s="25">
        <v>0.5</v>
      </c>
      <c r="G5" s="25">
        <v>127.1</v>
      </c>
      <c r="H5" s="25"/>
      <c r="I5" s="25">
        <f>D5+E5+F5</f>
        <v>-226.5</v>
      </c>
      <c r="J5" s="25">
        <f>AVERAGE(I3:I5)</f>
        <v>-175</v>
      </c>
      <c r="K5" s="25"/>
      <c r="L5" s="25">
        <f>-(G5+H5)+L4</f>
        <v>-254.2</v>
      </c>
      <c r="M5" s="25"/>
      <c r="N5" s="25">
        <f>1+N4</f>
        <v>2</v>
      </c>
    </row>
    <row r="6" ht="20.05" customHeight="1">
      <c r="B6" s="32"/>
      <c r="C6" s="24">
        <v>1327</v>
      </c>
      <c r="D6" s="25">
        <v>-117</v>
      </c>
      <c r="E6" s="25">
        <v>-18</v>
      </c>
      <c r="F6" s="25">
        <v>0.5</v>
      </c>
      <c r="G6" s="25">
        <v>127.1</v>
      </c>
      <c r="H6" s="25"/>
      <c r="I6" s="25">
        <f>D6+E6+F6</f>
        <v>-134.5</v>
      </c>
      <c r="J6" s="25">
        <f>AVERAGE(I3:I6)</f>
        <v>-161.5</v>
      </c>
      <c r="K6" s="25"/>
      <c r="L6" s="25">
        <f>-(G6+H6)+L5</f>
        <v>-381.3</v>
      </c>
      <c r="M6" s="25"/>
      <c r="N6" s="25">
        <f>1+N5</f>
        <v>3</v>
      </c>
    </row>
    <row r="7" ht="20.05" customHeight="1">
      <c r="B7" s="32"/>
      <c r="C7" s="24">
        <v>1369</v>
      </c>
      <c r="D7" s="25">
        <v>72</v>
      </c>
      <c r="E7" s="25">
        <v>-36</v>
      </c>
      <c r="F7" s="25">
        <v>0.5</v>
      </c>
      <c r="G7" s="25">
        <v>127.1</v>
      </c>
      <c r="H7" s="25"/>
      <c r="I7" s="25">
        <f>D7+E7+F7</f>
        <v>36.5</v>
      </c>
      <c r="J7" s="25">
        <f>AVERAGE(I4:I7)</f>
        <v>-112</v>
      </c>
      <c r="K7" s="25"/>
      <c r="L7" s="25">
        <f>-(G7+H7)+L6</f>
        <v>-508.4</v>
      </c>
      <c r="M7" s="25"/>
      <c r="N7" s="25">
        <f>1+N6</f>
        <v>4</v>
      </c>
    </row>
    <row r="8" ht="20.05" customHeight="1">
      <c r="B8" s="33">
        <v>2019</v>
      </c>
      <c r="C8" s="24">
        <v>1146</v>
      </c>
      <c r="D8" s="25">
        <v>155</v>
      </c>
      <c r="E8" s="25">
        <v>-8.4</v>
      </c>
      <c r="F8" s="25">
        <v>-2.35</v>
      </c>
      <c r="G8" s="25">
        <v>-81.47499999999999</v>
      </c>
      <c r="H8" s="25"/>
      <c r="I8" s="25">
        <f>D8+E8+F8</f>
        <v>144.25</v>
      </c>
      <c r="J8" s="25">
        <f>AVERAGE(I5:I8)</f>
        <v>-45.0625</v>
      </c>
      <c r="K8" s="25"/>
      <c r="L8" s="25">
        <f>-(G8+H8)+L7</f>
        <v>-426.925</v>
      </c>
      <c r="M8" s="25"/>
      <c r="N8" s="25">
        <f>1+N7</f>
        <v>5</v>
      </c>
    </row>
    <row r="9" ht="20.05" customHeight="1">
      <c r="B9" s="32"/>
      <c r="C9" s="24">
        <v>1272</v>
      </c>
      <c r="D9" s="25">
        <v>-76</v>
      </c>
      <c r="E9" s="25">
        <v>-31.6</v>
      </c>
      <c r="F9" s="25">
        <v>-2.35</v>
      </c>
      <c r="G9" s="25">
        <v>-81.47499999999999</v>
      </c>
      <c r="H9" s="25"/>
      <c r="I9" s="25">
        <f>D9+E9+F9</f>
        <v>-109.95</v>
      </c>
      <c r="J9" s="25">
        <f>AVERAGE(I6:I9)</f>
        <v>-15.925</v>
      </c>
      <c r="K9" s="25"/>
      <c r="L9" s="25">
        <f>-(G9+H9)+L8</f>
        <v>-345.45</v>
      </c>
      <c r="M9" s="25"/>
      <c r="N9" s="25">
        <f>1+N8</f>
        <v>6</v>
      </c>
    </row>
    <row r="10" ht="20.05" customHeight="1">
      <c r="B10" s="32"/>
      <c r="C10" s="24">
        <v>1343</v>
      </c>
      <c r="D10" s="25">
        <v>-112</v>
      </c>
      <c r="E10" s="25">
        <v>-12</v>
      </c>
      <c r="F10" s="25">
        <v>-2.35</v>
      </c>
      <c r="G10" s="25">
        <v>-81.47499999999999</v>
      </c>
      <c r="H10" s="25"/>
      <c r="I10" s="25">
        <f>D10+E10+F10</f>
        <v>-126.35</v>
      </c>
      <c r="J10" s="25">
        <f>AVERAGE(I7:I10)</f>
        <v>-13.8875</v>
      </c>
      <c r="K10" s="25"/>
      <c r="L10" s="25">
        <f>-(G10+H10)+L9</f>
        <v>-263.975</v>
      </c>
      <c r="M10" s="25"/>
      <c r="N10" s="25">
        <f>1+N9</f>
        <v>7</v>
      </c>
    </row>
    <row r="11" ht="20.05" customHeight="1">
      <c r="B11" s="32"/>
      <c r="C11" s="24">
        <v>1441</v>
      </c>
      <c r="D11" s="25">
        <v>494</v>
      </c>
      <c r="E11" s="25">
        <v>-87</v>
      </c>
      <c r="F11" s="25">
        <v>-2.35</v>
      </c>
      <c r="G11" s="25">
        <v>-81.47499999999999</v>
      </c>
      <c r="H11" s="25"/>
      <c r="I11" s="25">
        <f>D11+E11+F11</f>
        <v>404.65</v>
      </c>
      <c r="J11" s="25">
        <f>AVERAGE(I8:I11)</f>
        <v>78.15000000000001</v>
      </c>
      <c r="K11" s="25"/>
      <c r="L11" s="25">
        <f>-(G11+H11)+L10</f>
        <v>-182.5</v>
      </c>
      <c r="M11" s="25"/>
      <c r="N11" s="25">
        <f>1+N10</f>
        <v>8</v>
      </c>
    </row>
    <row r="12" ht="20.05" customHeight="1">
      <c r="B12" s="33">
        <v>2020</v>
      </c>
      <c r="C12" s="24">
        <v>1176</v>
      </c>
      <c r="D12" s="25">
        <v>-192</v>
      </c>
      <c r="E12" s="25">
        <v>-25</v>
      </c>
      <c r="F12" s="25">
        <v>-2.275</v>
      </c>
      <c r="G12" s="25">
        <v>-108.675</v>
      </c>
      <c r="H12" s="25"/>
      <c r="I12" s="25">
        <f>D12+E12+F12</f>
        <v>-219.275</v>
      </c>
      <c r="J12" s="25">
        <f>AVERAGE(I9:I12)</f>
        <v>-12.73125</v>
      </c>
      <c r="K12" s="25"/>
      <c r="L12" s="25">
        <f>-(G12+H12)+L11</f>
        <v>-73.825</v>
      </c>
      <c r="M12" s="25"/>
      <c r="N12" s="25">
        <f>1+N11</f>
        <v>9</v>
      </c>
    </row>
    <row r="13" ht="20.05" customHeight="1">
      <c r="B13" s="32"/>
      <c r="C13" s="24">
        <v>869</v>
      </c>
      <c r="D13" s="25">
        <v>170</v>
      </c>
      <c r="E13" s="25">
        <v>-13</v>
      </c>
      <c r="F13" s="25">
        <v>-2.275</v>
      </c>
      <c r="G13" s="25">
        <v>-108.675</v>
      </c>
      <c r="H13" s="25"/>
      <c r="I13" s="25">
        <f>D13+E13+F13</f>
        <v>154.725</v>
      </c>
      <c r="J13" s="25">
        <f>AVERAGE(I10:I13)</f>
        <v>53.4375</v>
      </c>
      <c r="K13" s="25"/>
      <c r="L13" s="25">
        <f>-(G13+H13)+L12</f>
        <v>34.85</v>
      </c>
      <c r="M13" s="25"/>
      <c r="N13" s="25">
        <f>1+N12</f>
        <v>10</v>
      </c>
    </row>
    <row r="14" ht="20.05" customHeight="1">
      <c r="B14" s="32"/>
      <c r="C14" s="24">
        <v>854</v>
      </c>
      <c r="D14" s="25">
        <v>-75</v>
      </c>
      <c r="E14" s="25">
        <v>-22</v>
      </c>
      <c r="F14" s="25">
        <v>-2.275</v>
      </c>
      <c r="G14" s="25">
        <v>-108.675</v>
      </c>
      <c r="H14" s="25"/>
      <c r="I14" s="25">
        <f>D14+E14+F14</f>
        <v>-99.27500000000001</v>
      </c>
      <c r="J14" s="25">
        <f>AVERAGE(I11:I14)</f>
        <v>60.20625</v>
      </c>
      <c r="K14" s="25"/>
      <c r="L14" s="25">
        <f>-(G14+H14)+L13</f>
        <v>143.525</v>
      </c>
      <c r="M14" s="25"/>
      <c r="N14" s="25">
        <f>1+N13</f>
        <v>11</v>
      </c>
    </row>
    <row r="15" ht="20.05" customHeight="1">
      <c r="B15" s="32"/>
      <c r="C15" s="24">
        <v>1181</v>
      </c>
      <c r="D15" s="25">
        <v>448</v>
      </c>
      <c r="E15" s="25">
        <v>-6</v>
      </c>
      <c r="F15" s="25">
        <v>-2.275</v>
      </c>
      <c r="G15" s="25">
        <v>-108.675</v>
      </c>
      <c r="H15" s="25"/>
      <c r="I15" s="25">
        <f>D15+E15+F15</f>
        <v>439.725</v>
      </c>
      <c r="J15" s="25">
        <f>AVERAGE(I12:I15)</f>
        <v>68.97499999999999</v>
      </c>
      <c r="K15" s="25"/>
      <c r="L15" s="25">
        <f>-(G15+H15)+L14</f>
        <v>252.2</v>
      </c>
      <c r="M15" s="25"/>
      <c r="N15" s="25">
        <f>1+N14</f>
        <v>12</v>
      </c>
    </row>
    <row r="16" ht="20.05" customHeight="1">
      <c r="B16" s="33">
        <v>2021</v>
      </c>
      <c r="C16" s="24">
        <v>1187</v>
      </c>
      <c r="D16" s="25">
        <v>461</v>
      </c>
      <c r="E16" s="25">
        <v>-14</v>
      </c>
      <c r="F16" s="25"/>
      <c r="G16" s="25">
        <v>-469</v>
      </c>
      <c r="H16" s="25"/>
      <c r="I16" s="25">
        <f>D16+E16+F16</f>
        <v>447</v>
      </c>
      <c r="J16" s="25">
        <f>AVERAGE(I13:I16)</f>
        <v>235.54375</v>
      </c>
      <c r="K16" s="25"/>
      <c r="L16" s="25">
        <f>-(G16+H16)+L15</f>
        <v>721.2</v>
      </c>
      <c r="M16" s="25"/>
      <c r="N16" s="25">
        <f>1+N15</f>
        <v>13</v>
      </c>
    </row>
    <row r="17" ht="20.05" customHeight="1">
      <c r="B17" s="32"/>
      <c r="C17" s="24">
        <f>2488.9-C16</f>
        <v>1301.9</v>
      </c>
      <c r="D17" s="25">
        <f>159.5-D16</f>
        <v>-301.5</v>
      </c>
      <c r="E17" s="25">
        <f>63.7-E16</f>
        <v>77.7</v>
      </c>
      <c r="F17" s="25">
        <f>26.5-1.7</f>
        <v>24.8</v>
      </c>
      <c r="G17" s="25">
        <f>-178.2-93.1-G16</f>
        <v>197.7</v>
      </c>
      <c r="H17" s="25"/>
      <c r="I17" s="25">
        <f>D17+E17+F17</f>
        <v>-199</v>
      </c>
      <c r="J17" s="25">
        <f>AVERAGE(I14:I17)</f>
        <v>147.1125</v>
      </c>
      <c r="K17" s="25"/>
      <c r="L17" s="25">
        <f>-(G17+H17)+L16</f>
        <v>523.5</v>
      </c>
      <c r="M17" s="25"/>
      <c r="N17" s="25">
        <f>1+N16</f>
        <v>14</v>
      </c>
    </row>
    <row r="18" ht="20.05" customHeight="1">
      <c r="B18" s="32"/>
      <c r="C18" s="24">
        <f>3981-SUM(C16:C17)</f>
        <v>1492.1</v>
      </c>
      <c r="D18" s="25">
        <f>-26.6-SUM(D16:D17)</f>
        <v>-186.1</v>
      </c>
      <c r="E18" s="25">
        <f>34.9-SUM(E16:E17)</f>
        <v>-28.8</v>
      </c>
      <c r="F18" s="25">
        <f>26.5-3.9-42.4-F17-F16</f>
        <v>-44.6</v>
      </c>
      <c r="G18" s="25">
        <f>139.9-134-G17-G16</f>
        <v>277.2</v>
      </c>
      <c r="H18" s="25"/>
      <c r="I18" s="25">
        <f>D18+E18+F18</f>
        <v>-259.5</v>
      </c>
      <c r="J18" s="25">
        <f>AVERAGE(I15:I18)</f>
        <v>107.05625</v>
      </c>
      <c r="K18" s="25"/>
      <c r="L18" s="25">
        <f>-(G18+H18)+L17</f>
        <v>246.3</v>
      </c>
      <c r="M18" s="25"/>
      <c r="N18" s="25">
        <f>1+N17</f>
        <v>15</v>
      </c>
    </row>
    <row r="19" ht="20.05" customHeight="1">
      <c r="B19" s="32"/>
      <c r="C19" s="24">
        <f>5209.5-SUM(C16:C18)</f>
        <v>1228.5</v>
      </c>
      <c r="D19" s="25">
        <f>-110.3-SUM(D16:D18)</f>
        <v>-83.7</v>
      </c>
      <c r="E19" s="25">
        <f>41.4-SUM(E16:E18)</f>
        <v>6.5</v>
      </c>
      <c r="F19" s="25">
        <f>-6.2+25.5-SUM(F16:F18)</f>
        <v>39.1</v>
      </c>
      <c r="G19" s="25">
        <f>-38.8+150-2.6+150-2.7-174.4-SUM(G16:G18)</f>
        <v>75.59999999999999</v>
      </c>
      <c r="H19" s="25">
        <f>-42.4-SUM(H16:H18)</f>
        <v>-42.4</v>
      </c>
      <c r="I19" s="25">
        <f>D19+E19+F19</f>
        <v>-38.1</v>
      </c>
      <c r="J19" s="25">
        <f>AVERAGE(I16:I19)</f>
        <v>-12.4</v>
      </c>
      <c r="K19" s="25"/>
      <c r="L19" s="25">
        <f>-(G19+H19)+L18</f>
        <v>213.1</v>
      </c>
      <c r="M19" s="25"/>
      <c r="N19" s="25">
        <f>1+N18</f>
        <v>16</v>
      </c>
    </row>
    <row r="20" ht="20.05" customHeight="1">
      <c r="B20" s="33">
        <v>2022</v>
      </c>
      <c r="C20" s="24">
        <v>1353.9</v>
      </c>
      <c r="D20" s="25">
        <v>-157.4</v>
      </c>
      <c r="E20" s="25">
        <v>-46</v>
      </c>
      <c r="F20" s="25">
        <v>-2.5</v>
      </c>
      <c r="G20" s="25">
        <f>181.6-H20-F20</f>
        <v>184.1</v>
      </c>
      <c r="H20" s="25">
        <v>0</v>
      </c>
      <c r="I20" s="25">
        <f>D20+E20+F20</f>
        <v>-205.9</v>
      </c>
      <c r="J20" s="25">
        <f>AVERAGE(I17:I20)</f>
        <v>-175.625</v>
      </c>
      <c r="K20" s="25">
        <v>203.294945043320</v>
      </c>
      <c r="L20" s="25">
        <f>-(G20+H20)+L19</f>
        <v>29</v>
      </c>
      <c r="M20" s="25">
        <v>810.972429721838</v>
      </c>
      <c r="N20" s="25">
        <f>1+N19</f>
        <v>17</v>
      </c>
    </row>
    <row r="21" ht="20.05" customHeight="1">
      <c r="B21" s="32"/>
      <c r="C21" s="24"/>
      <c r="D21" s="25"/>
      <c r="E21" s="25"/>
      <c r="F21" s="25"/>
      <c r="G21" s="25"/>
      <c r="H21" s="25"/>
      <c r="I21" s="25"/>
      <c r="J21" s="22"/>
      <c r="K21" s="25">
        <f>SUM('Mode'!E8:E10)</f>
        <v>180.4419487071</v>
      </c>
      <c r="L21" s="22"/>
      <c r="M21" s="25">
        <f>'Mode'!E33</f>
        <v>735.701459535240</v>
      </c>
      <c r="N21" s="25"/>
    </row>
  </sheetData>
  <mergeCells count="1">
    <mergeCell ref="B2:N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1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63281" style="37" customWidth="1"/>
    <col min="2" max="2" width="9.86719" style="37" customWidth="1"/>
    <col min="3" max="11" width="8.875" style="37" customWidth="1"/>
    <col min="12" max="16384" width="16.3516" style="37" customWidth="1"/>
  </cols>
  <sheetData>
    <row r="1" ht="20" customHeight="1"/>
    <row r="2" ht="27.65" customHeight="1">
      <c r="B2" t="s" s="2">
        <v>23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48</v>
      </c>
      <c r="D3" t="s" s="5">
        <v>49</v>
      </c>
      <c r="E3" t="s" s="5">
        <v>50</v>
      </c>
      <c r="F3" t="s" s="5">
        <v>25</v>
      </c>
      <c r="G3" t="s" s="5">
        <v>12</v>
      </c>
      <c r="H3" t="s" s="5">
        <v>15</v>
      </c>
      <c r="I3" t="s" s="5">
        <v>51</v>
      </c>
      <c r="J3" t="s" s="5">
        <v>28</v>
      </c>
      <c r="K3" t="s" s="5">
        <v>36</v>
      </c>
    </row>
    <row r="4" ht="20.25" customHeight="1">
      <c r="B4" s="27">
        <v>2019</v>
      </c>
      <c r="C4" s="36">
        <v>214</v>
      </c>
      <c r="D4" s="30">
        <v>6455</v>
      </c>
      <c r="E4" s="30">
        <f>D4-C4</f>
        <v>6241</v>
      </c>
      <c r="F4" s="30"/>
      <c r="G4" s="30">
        <v>3518</v>
      </c>
      <c r="H4" s="30">
        <v>2937</v>
      </c>
      <c r="I4" s="30">
        <f>G4+H4-C4-E4</f>
        <v>0</v>
      </c>
      <c r="J4" s="30">
        <f>C4-G4</f>
        <v>-3304</v>
      </c>
      <c r="K4" s="30"/>
    </row>
    <row r="5" ht="20.05" customHeight="1">
      <c r="B5" s="32"/>
      <c r="C5" s="24">
        <v>223</v>
      </c>
      <c r="D5" s="25">
        <v>6700</v>
      </c>
      <c r="E5" s="25">
        <f>D5-C5</f>
        <v>6477</v>
      </c>
      <c r="F5" s="25"/>
      <c r="G5" s="25">
        <v>3732</v>
      </c>
      <c r="H5" s="25">
        <v>2968</v>
      </c>
      <c r="I5" s="25">
        <f>G5+H5-C5-E5</f>
        <v>0</v>
      </c>
      <c r="J5" s="25">
        <f>C5-G5</f>
        <v>-3509</v>
      </c>
      <c r="K5" s="25"/>
    </row>
    <row r="6" ht="20.05" customHeight="1">
      <c r="B6" s="32"/>
      <c r="C6" s="24">
        <v>225</v>
      </c>
      <c r="D6" s="25">
        <v>6746</v>
      </c>
      <c r="E6" s="25">
        <f>D6-C6</f>
        <v>6521</v>
      </c>
      <c r="F6" s="25"/>
      <c r="G6" s="25">
        <v>3709</v>
      </c>
      <c r="H6" s="25">
        <v>3038</v>
      </c>
      <c r="I6" s="25">
        <f>G6+H6-C6-E6</f>
        <v>1</v>
      </c>
      <c r="J6" s="25">
        <f>C6-G6</f>
        <v>-3484</v>
      </c>
      <c r="K6" s="25"/>
    </row>
    <row r="7" ht="20.05" customHeight="1">
      <c r="B7" s="32"/>
      <c r="C7" s="24">
        <v>219</v>
      </c>
      <c r="D7" s="25">
        <v>6425</v>
      </c>
      <c r="E7" s="25">
        <f>D7-C7</f>
        <v>6206</v>
      </c>
      <c r="F7" s="25"/>
      <c r="G7" s="25">
        <v>3326</v>
      </c>
      <c r="H7" s="25">
        <v>3099</v>
      </c>
      <c r="I7" s="25">
        <f>G7+H7-C7-E7</f>
        <v>0</v>
      </c>
      <c r="J7" s="25">
        <f>C7-G7</f>
        <v>-3107</v>
      </c>
      <c r="K7" s="25"/>
    </row>
    <row r="8" ht="20.05" customHeight="1">
      <c r="B8" s="33">
        <v>2020</v>
      </c>
      <c r="C8" s="24">
        <v>24</v>
      </c>
      <c r="D8" s="25">
        <v>6380</v>
      </c>
      <c r="E8" s="25">
        <f>D8-C8</f>
        <v>6356</v>
      </c>
      <c r="F8" s="25"/>
      <c r="G8" s="25">
        <v>3357</v>
      </c>
      <c r="H8" s="25">
        <v>3023</v>
      </c>
      <c r="I8" s="25">
        <f>G8+H8-C8-E8</f>
        <v>0</v>
      </c>
      <c r="J8" s="25">
        <f>C8-G8</f>
        <v>-3333</v>
      </c>
      <c r="K8" s="25"/>
    </row>
    <row r="9" ht="20.05" customHeight="1">
      <c r="B9" s="32"/>
      <c r="C9" s="24">
        <v>15</v>
      </c>
      <c r="D9" s="25">
        <v>6306</v>
      </c>
      <c r="E9" s="25">
        <f>D9-C9</f>
        <v>6291</v>
      </c>
      <c r="F9" s="25"/>
      <c r="G9" s="25">
        <v>3206</v>
      </c>
      <c r="H9" s="25">
        <v>3101</v>
      </c>
      <c r="I9" s="25">
        <f>G9+H9-C9-E9</f>
        <v>1</v>
      </c>
      <c r="J9" s="25">
        <f>C9-G9</f>
        <v>-3191</v>
      </c>
      <c r="K9" s="25"/>
    </row>
    <row r="10" ht="20.05" customHeight="1">
      <c r="B10" s="32"/>
      <c r="C10" s="24">
        <v>18</v>
      </c>
      <c r="D10" s="25">
        <v>6261</v>
      </c>
      <c r="E10" s="25">
        <f>D10-C10</f>
        <v>6243</v>
      </c>
      <c r="F10" s="25"/>
      <c r="G10" s="25">
        <v>3113</v>
      </c>
      <c r="H10" s="25">
        <v>3147</v>
      </c>
      <c r="I10" s="25">
        <f>G10+H10-C10-E10</f>
        <v>-1</v>
      </c>
      <c r="J10" s="25">
        <f>C10-G10</f>
        <v>-3095</v>
      </c>
      <c r="K10" s="25"/>
    </row>
    <row r="11" ht="20.05" customHeight="1">
      <c r="B11" s="32"/>
      <c r="C11" s="24">
        <v>60</v>
      </c>
      <c r="D11" s="25">
        <v>6077</v>
      </c>
      <c r="E11" s="25">
        <f>D11-C11</f>
        <v>6017</v>
      </c>
      <c r="F11" s="25">
        <f>78+67</f>
        <v>145</v>
      </c>
      <c r="G11" s="25">
        <v>2741</v>
      </c>
      <c r="H11" s="25">
        <v>3335</v>
      </c>
      <c r="I11" s="25">
        <f>G11+H11-C11-E11</f>
        <v>-1</v>
      </c>
      <c r="J11" s="25">
        <f>C11-G11</f>
        <v>-2681</v>
      </c>
      <c r="K11" s="25"/>
    </row>
    <row r="12" ht="20.05" customHeight="1">
      <c r="B12" s="33">
        <v>2021</v>
      </c>
      <c r="C12" s="24">
        <v>38</v>
      </c>
      <c r="D12" s="25">
        <v>5766</v>
      </c>
      <c r="E12" s="25">
        <f>D12-C12</f>
        <v>5728</v>
      </c>
      <c r="F12" s="25">
        <f>91+80</f>
        <v>171</v>
      </c>
      <c r="G12" s="25">
        <v>2322</v>
      </c>
      <c r="H12" s="25">
        <v>3445</v>
      </c>
      <c r="I12" s="25">
        <f>G12+H12-C12-E12</f>
        <v>1</v>
      </c>
      <c r="J12" s="25">
        <f>C12-G12</f>
        <v>-2284</v>
      </c>
      <c r="K12" s="25"/>
    </row>
    <row r="13" ht="20.05" customHeight="1">
      <c r="B13" s="32"/>
      <c r="C13" s="24">
        <v>37</v>
      </c>
      <c r="D13" s="25">
        <v>6339</v>
      </c>
      <c r="E13" s="25">
        <f>D13-C13</f>
        <v>6302</v>
      </c>
      <c r="F13" s="25">
        <f>124+82</f>
        <v>206</v>
      </c>
      <c r="G13" s="25">
        <v>2705</v>
      </c>
      <c r="H13" s="25">
        <v>3634</v>
      </c>
      <c r="I13" s="25">
        <f>G13+H13-C13-E13</f>
        <v>0</v>
      </c>
      <c r="J13" s="25">
        <f>C13-G13</f>
        <v>-2668</v>
      </c>
      <c r="K13" s="25"/>
    </row>
    <row r="14" ht="20.05" customHeight="1">
      <c r="B14" s="32"/>
      <c r="C14" s="24">
        <v>54</v>
      </c>
      <c r="D14" s="25">
        <v>6868</v>
      </c>
      <c r="E14" s="25">
        <f>D14-C14</f>
        <v>6814</v>
      </c>
      <c r="F14" s="25">
        <f>153+83</f>
        <v>236</v>
      </c>
      <c r="G14" s="25">
        <v>3085</v>
      </c>
      <c r="H14" s="25">
        <v>3783</v>
      </c>
      <c r="I14" s="25">
        <f>G14+H14-C14-E14</f>
        <v>0</v>
      </c>
      <c r="J14" s="25">
        <f>C14-G14</f>
        <v>-3031</v>
      </c>
      <c r="K14" s="25"/>
    </row>
    <row r="15" ht="20.05" customHeight="1">
      <c r="B15" s="32"/>
      <c r="C15" s="24">
        <v>50</v>
      </c>
      <c r="D15" s="25">
        <v>7097</v>
      </c>
      <c r="E15" s="25">
        <f>D15-C15</f>
        <v>7047</v>
      </c>
      <c r="F15" s="25">
        <f>85+178</f>
        <v>263</v>
      </c>
      <c r="G15" s="25">
        <v>3310</v>
      </c>
      <c r="H15" s="25">
        <v>3787</v>
      </c>
      <c r="I15" s="25">
        <f>G15+H15-C15-E15</f>
        <v>0</v>
      </c>
      <c r="J15" s="25">
        <f>C15-G15</f>
        <v>-3260</v>
      </c>
      <c r="K15" s="25"/>
    </row>
    <row r="16" ht="20.05" customHeight="1">
      <c r="B16" s="33">
        <v>2022</v>
      </c>
      <c r="C16" s="24">
        <v>28</v>
      </c>
      <c r="D16" s="25">
        <v>7214</v>
      </c>
      <c r="E16" s="25">
        <f>D16-C16</f>
        <v>7186</v>
      </c>
      <c r="F16" s="25">
        <f>204+86</f>
        <v>290</v>
      </c>
      <c r="G16" s="25">
        <v>3307</v>
      </c>
      <c r="H16" s="25">
        <v>3907</v>
      </c>
      <c r="I16" s="25">
        <f>G16+H16-C16-E16</f>
        <v>0</v>
      </c>
      <c r="J16" s="25">
        <f>C16-G16</f>
        <v>-3279</v>
      </c>
      <c r="K16" s="25">
        <v>-2651.221606112650</v>
      </c>
    </row>
    <row r="17" ht="20.05" customHeight="1">
      <c r="B17" s="32"/>
      <c r="C17" s="24"/>
      <c r="D17" s="25"/>
      <c r="E17" s="25"/>
      <c r="F17" s="25"/>
      <c r="G17" s="25"/>
      <c r="H17" s="25"/>
      <c r="I17" s="25"/>
      <c r="J17" s="25"/>
      <c r="K17" s="25">
        <f>'Mode'!E31</f>
        <v>-2728.118832371810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5" style="38" customWidth="1"/>
    <col min="2" max="2" width="9.67969" style="38" customWidth="1"/>
    <col min="3" max="4" width="8.82812" style="38" customWidth="1"/>
    <col min="5" max="16384" width="16.3516" style="38" customWidth="1"/>
  </cols>
  <sheetData>
    <row r="1" ht="20" customHeight="1"/>
    <row r="2" ht="27.65" customHeight="1">
      <c r="B2" t="s" s="2">
        <v>52</v>
      </c>
      <c r="C2" s="2"/>
      <c r="D2" s="2"/>
    </row>
    <row r="3" ht="20.25" customHeight="1">
      <c r="B3" s="4"/>
      <c r="C3" t="s" s="39">
        <v>53</v>
      </c>
      <c r="D3" t="s" s="39">
        <v>54</v>
      </c>
    </row>
    <row r="4" ht="20.25" customHeight="1">
      <c r="B4" s="27">
        <v>2018</v>
      </c>
      <c r="C4" s="40">
        <v>120.619354</v>
      </c>
      <c r="D4" s="9"/>
    </row>
    <row r="5" ht="20.05" customHeight="1">
      <c r="B5" s="32"/>
      <c r="C5" s="41">
        <v>89.238708</v>
      </c>
      <c r="D5" s="22"/>
    </row>
    <row r="6" ht="20.05" customHeight="1">
      <c r="B6" s="32"/>
      <c r="C6" s="41">
        <v>83.354843</v>
      </c>
      <c r="D6" s="22"/>
    </row>
    <row r="7" ht="20.05" customHeight="1">
      <c r="B7" s="32"/>
      <c r="C7" s="41">
        <v>118.658066</v>
      </c>
      <c r="D7" s="22"/>
    </row>
    <row r="8" ht="20.05" customHeight="1">
      <c r="B8" s="33">
        <v>2019</v>
      </c>
      <c r="C8" s="41">
        <v>100.02581</v>
      </c>
      <c r="D8" s="22"/>
    </row>
    <row r="9" ht="20.05" customHeight="1">
      <c r="B9" s="32"/>
      <c r="C9" s="41">
        <v>121.600006</v>
      </c>
      <c r="D9" s="22"/>
    </row>
    <row r="10" ht="20.05" customHeight="1">
      <c r="B10" s="32"/>
      <c r="C10" s="41">
        <v>203.974197</v>
      </c>
      <c r="D10" s="22"/>
    </row>
    <row r="11" ht="20.05" customHeight="1">
      <c r="B11" s="32"/>
      <c r="C11" s="41">
        <v>155.922577</v>
      </c>
      <c r="D11" s="22"/>
    </row>
    <row r="12" ht="20.05" customHeight="1">
      <c r="B12" s="33">
        <v>2020</v>
      </c>
      <c r="C12" s="41">
        <v>123.561295</v>
      </c>
      <c r="D12" s="22"/>
    </row>
    <row r="13" ht="20.05" customHeight="1">
      <c r="B13" s="32"/>
      <c r="C13" s="41">
        <v>126.503227</v>
      </c>
      <c r="D13" s="22"/>
    </row>
    <row r="14" ht="20.05" customHeight="1">
      <c r="B14" s="32"/>
      <c r="C14" s="41">
        <v>119.63871</v>
      </c>
      <c r="D14" s="22"/>
    </row>
    <row r="15" ht="20.05" customHeight="1">
      <c r="B15" s="32"/>
      <c r="C15" s="41">
        <v>163.767746</v>
      </c>
      <c r="D15" s="22"/>
    </row>
    <row r="16" ht="20.05" customHeight="1">
      <c r="B16" s="33">
        <v>2021</v>
      </c>
      <c r="C16" s="41">
        <v>187</v>
      </c>
      <c r="D16" s="22"/>
    </row>
    <row r="17" ht="20.05" customHeight="1">
      <c r="B17" s="32"/>
      <c r="C17" s="41">
        <v>240</v>
      </c>
      <c r="D17" s="22"/>
    </row>
    <row r="18" ht="20.05" customHeight="1">
      <c r="B18" s="32"/>
      <c r="C18" s="41">
        <v>306</v>
      </c>
      <c r="D18" s="22"/>
    </row>
    <row r="19" ht="20.05" customHeight="1">
      <c r="B19" s="32"/>
      <c r="C19" s="24">
        <v>398</v>
      </c>
      <c r="D19" s="22"/>
    </row>
    <row r="20" ht="20.05" customHeight="1">
      <c r="B20" s="33">
        <v>2022</v>
      </c>
      <c r="C20" s="24">
        <v>416</v>
      </c>
      <c r="D20" s="19">
        <v>548.069316976806</v>
      </c>
    </row>
    <row r="21" ht="20.05" customHeight="1">
      <c r="B21" s="32"/>
      <c r="C21" s="24">
        <v>316</v>
      </c>
      <c r="D21" s="19">
        <v>481.083067124087</v>
      </c>
    </row>
    <row r="22" ht="20.05" customHeight="1">
      <c r="B22" s="32"/>
      <c r="C22" s="24"/>
      <c r="D22" s="19">
        <f>'Mode'!E44</f>
        <v>394.433369913019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