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<sst xmlns="http://schemas.openxmlformats.org/spreadsheetml/2006/main" uniqueCount="64">
  <si>
    <t>Financial model</t>
  </si>
  <si>
    <t>Rpbn</t>
  </si>
  <si>
    <t>4Q 2022</t>
  </si>
  <si>
    <t xml:space="preserve">Cashflow </t>
  </si>
  <si>
    <t xml:space="preserve">Growth </t>
  </si>
  <si>
    <t xml:space="preserve">Sales </t>
  </si>
  <si>
    <t>Cost ratio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</si>
  <si>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</si>
  <si>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</si>
  <si>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</si>
  <si>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</si>
  <si>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</si>
  <si>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</si>
  <si>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</si>
  <si>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</si>
  <si>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</si>
  <si>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</si>
  <si>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</si>
  <si>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</si>
  <si>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Income statement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</si>
  <si>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</si>
  <si>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</si>
  <si>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</si>
  <si>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</si>
  <si>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</si>
  <si>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</si>
  <si>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</si>
  <si>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</si>
  <si>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</si>
  <si>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</si>
  <si>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</si>
  <si>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</si>
  <si>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</si>
  <si>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</si>
  <si>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</si>
  <si>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</si>
  <si>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</si>
  <si>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</si>
  <si>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</si>
  <si>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</si>
  <si>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</si>
  <si>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</si>
  <si>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</si>
  <si>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>Other</t>
  </si>
  <si>
    <t>Profit</t>
  </si>
  <si>
    <t xml:space="preserve">Sales growth </t>
  </si>
  <si>
    <t xml:space="preserve">Cost ratio </t>
  </si>
  <si>
    <t xml:space="preserve">Cashflow costs </t>
  </si>
  <si>
    <t>Cashflow</t>
  </si>
  <si>
    <t xml:space="preserve">Receipts </t>
  </si>
  <si>
    <t>Capex</t>
  </si>
  <si>
    <t xml:space="preserve">Investment </t>
  </si>
  <si>
    <t xml:space="preserve">Free cashflow </t>
  </si>
  <si>
    <t>Capital</t>
  </si>
  <si>
    <t>Balance sheet</t>
  </si>
  <si>
    <t xml:space="preserve">  Cash</t>
  </si>
  <si>
    <t>Assets</t>
  </si>
  <si>
    <t>Other assets</t>
  </si>
  <si>
    <t xml:space="preserve">Check </t>
  </si>
  <si>
    <t>Net debt</t>
  </si>
  <si>
    <t>Share price</t>
  </si>
  <si>
    <t>ISAT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</si>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</sst>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721162</xdr:colOff>
      <xdr:row>2</xdr:row>
      <xdr:rowOff>13709</xdr:rowOff>
    </xdr:from>
    <xdr:to>
      <xdr:col>13</xdr:col>
      <xdr:colOff>906093</xdr:colOff>
      <xdr:row>47</xdr:row>
      <xdr:rowOff>239369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978962" y="703954"/>
          <a:ext cx="8897132" cy="116893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5" style="1" customWidth="1"/>
    <col min="2" max="2" width="16.4375" style="1" customWidth="1"/>
    <col min="3" max="6" width="8.55469" style="1" customWidth="1"/>
    <col min="7" max="16384" width="16.3516" style="1" customWidth="1"/>
  </cols>
  <sheetData>
    <row r="1" ht="26.7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AVERAGE('Sales'!H28:H31)</f>
        <v>0.0326412644206925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-0.02</v>
      </c>
      <c r="D5" s="12">
        <v>0.05</v>
      </c>
      <c r="E5" s="12">
        <v>0.05</v>
      </c>
      <c r="F5" s="12">
        <v>0.03</v>
      </c>
    </row>
    <row r="6" ht="20.05" customHeight="1">
      <c r="B6" t="s" s="10">
        <v>5</v>
      </c>
      <c r="C6" s="13">
        <f>'Sales'!C31*(1+C5)</f>
        <v>8166.536</v>
      </c>
      <c r="D6" s="14">
        <f>C6*(1+D5)</f>
        <v>8574.862800000001</v>
      </c>
      <c r="E6" s="14">
        <f>D6*(1+E5)</f>
        <v>9003.605939999999</v>
      </c>
      <c r="F6" s="14">
        <f>E6*(1+F5)</f>
        <v>9273.7141182</v>
      </c>
    </row>
    <row r="7" ht="20.05" customHeight="1">
      <c r="B7" t="s" s="10">
        <v>6</v>
      </c>
      <c r="C7" s="15">
        <f>AVERAGE('Sales'!J31)</f>
        <v>-0.618064633495671</v>
      </c>
      <c r="D7" s="16">
        <f>C7</f>
        <v>-0.618064633495671</v>
      </c>
      <c r="E7" s="16">
        <f>D7</f>
        <v>-0.618064633495671</v>
      </c>
      <c r="F7" s="16">
        <f>E7</f>
        <v>-0.618064633495671</v>
      </c>
    </row>
    <row r="8" ht="20.05" customHeight="1">
      <c r="B8" t="s" s="10">
        <v>7</v>
      </c>
      <c r="C8" s="17">
        <f>C6*C7</f>
        <v>-5047.4470797692</v>
      </c>
      <c r="D8" s="18">
        <f>D6*D7</f>
        <v>-5299.819433757660</v>
      </c>
      <c r="E8" s="18">
        <f>E6*E7</f>
        <v>-5564.810405445550</v>
      </c>
      <c r="F8" s="18">
        <f>F6*F7</f>
        <v>-5731.754717608910</v>
      </c>
    </row>
    <row r="9" ht="20.05" customHeight="1">
      <c r="B9" t="s" s="10">
        <v>8</v>
      </c>
      <c r="C9" s="17">
        <f>C6+C8</f>
        <v>3119.0889202308</v>
      </c>
      <c r="D9" s="18">
        <f>D6+D8</f>
        <v>3275.043366242340</v>
      </c>
      <c r="E9" s="18">
        <f>E6+E8</f>
        <v>3438.795534554450</v>
      </c>
      <c r="F9" s="18">
        <f>F6+F8</f>
        <v>3541.959400591090</v>
      </c>
    </row>
    <row r="10" ht="20.05" customHeight="1">
      <c r="B10" t="s" s="10">
        <v>9</v>
      </c>
      <c r="C10" s="17">
        <f>AVERAGE('Cashflow '!F34:F35)</f>
        <v>-2255.6</v>
      </c>
      <c r="D10" s="18">
        <f>C10</f>
        <v>-2255.6</v>
      </c>
      <c r="E10" s="18">
        <f>D10</f>
        <v>-2255.6</v>
      </c>
      <c r="F10" s="18">
        <f>E10</f>
        <v>-2255.6</v>
      </c>
    </row>
    <row r="11" ht="20.05" customHeight="1">
      <c r="B11" t="s" s="10">
        <v>10</v>
      </c>
      <c r="C11" s="17">
        <f>AVERAGE('Cashflow '!G34:G35)</f>
        <v>-320</v>
      </c>
      <c r="D11" s="18">
        <f>C11</f>
        <v>-320</v>
      </c>
      <c r="E11" s="18">
        <f>D11</f>
        <v>-320</v>
      </c>
      <c r="F11" s="18">
        <f>E11</f>
        <v>-320</v>
      </c>
    </row>
    <row r="12" ht="20.05" customHeight="1">
      <c r="B12" t="s" s="10">
        <v>11</v>
      </c>
      <c r="C12" s="17">
        <f>C13+C14+C16</f>
        <v>-543.4889202308</v>
      </c>
      <c r="D12" s="18">
        <f>D13+D14+D16</f>
        <v>-699.443366242342</v>
      </c>
      <c r="E12" s="18">
        <f>E13+E14+E16</f>
        <v>-863.195534554445</v>
      </c>
      <c r="F12" s="18">
        <f>F13+F14+F16</f>
        <v>-966.359400591087</v>
      </c>
    </row>
    <row r="13" ht="20.05" customHeight="1">
      <c r="B13" t="s" s="10">
        <v>12</v>
      </c>
      <c r="C13" s="17">
        <f>-('Balance Sheet '!F30)/20</f>
        <v>-2654.7</v>
      </c>
      <c r="D13" s="18">
        <f>-C27/20</f>
        <v>-2505.965</v>
      </c>
      <c r="E13" s="18">
        <f>-D27/20</f>
        <v>-2364.66675</v>
      </c>
      <c r="F13" s="18">
        <f>-E27/20</f>
        <v>-2230.4334125</v>
      </c>
    </row>
    <row r="14" ht="20.05" customHeight="1">
      <c r="B14" t="s" s="10">
        <v>13</v>
      </c>
      <c r="C14" s="17">
        <f>IF(C22&gt;0,-C22*0.3,0)</f>
        <v>-170.426676069240</v>
      </c>
      <c r="D14" s="18">
        <f>IF(D22&gt;0,-D22*0.3,0)</f>
        <v>-217.213009872702</v>
      </c>
      <c r="E14" s="18">
        <f>IF(E22&gt;0,-E22*0.3,0)</f>
        <v>-266.338660366335</v>
      </c>
      <c r="F14" s="18">
        <f>IF(F22&gt;0,-F22*0.3,0)</f>
        <v>-297.287820177327</v>
      </c>
    </row>
    <row r="15" ht="20.05" customHeight="1">
      <c r="B15" t="s" s="10">
        <v>14</v>
      </c>
      <c r="C15" s="17">
        <f>C9+C10+C13+C14+C11</f>
        <v>-2281.637755838440</v>
      </c>
      <c r="D15" s="18">
        <f>D9+D10+D13+D14+D11</f>
        <v>-2023.734643630360</v>
      </c>
      <c r="E15" s="18">
        <f>E9+E10+E13+E14+E11</f>
        <v>-1767.809875811890</v>
      </c>
      <c r="F15" s="18">
        <f>F9+F10+F13+F14+F11</f>
        <v>-1561.361832086240</v>
      </c>
    </row>
    <row r="16" ht="20.05" customHeight="1">
      <c r="B16" t="s" s="10">
        <v>15</v>
      </c>
      <c r="C16" s="17">
        <f>-MIN(0,C15)</f>
        <v>2281.637755838440</v>
      </c>
      <c r="D16" s="18">
        <f>-MIN(C28,D15)</f>
        <v>2023.734643630360</v>
      </c>
      <c r="E16" s="18">
        <f>-MIN(D28,E15)</f>
        <v>1767.809875811890</v>
      </c>
      <c r="F16" s="18">
        <f>-MIN(E28,F15)</f>
        <v>1561.361832086240</v>
      </c>
    </row>
    <row r="17" ht="20.05" customHeight="1">
      <c r="B17" t="s" s="10">
        <v>16</v>
      </c>
      <c r="C17" s="17">
        <f>'Balance Sheet '!B30</f>
        <v>4087</v>
      </c>
      <c r="D17" s="18">
        <f>C19</f>
        <v>4087</v>
      </c>
      <c r="E17" s="18">
        <f>D19</f>
        <v>4087</v>
      </c>
      <c r="F17" s="18">
        <f>E19</f>
        <v>4087.000000000010</v>
      </c>
    </row>
    <row r="18" ht="20.05" customHeight="1">
      <c r="B18" t="s" s="10">
        <v>17</v>
      </c>
      <c r="C18" s="17">
        <f>C9+C10+C12+C11</f>
        <v>0</v>
      </c>
      <c r="D18" s="18">
        <f>D9+D10+D12+D11</f>
        <v>-2e-12</v>
      </c>
      <c r="E18" s="18">
        <f>E9+E10+E12+E11</f>
        <v>5e-12</v>
      </c>
      <c r="F18" s="18">
        <f>F9+F10+F12+F11</f>
        <v>3e-12</v>
      </c>
    </row>
    <row r="19" ht="20.05" customHeight="1">
      <c r="B19" t="s" s="10">
        <v>18</v>
      </c>
      <c r="C19" s="17">
        <f>C17+C18</f>
        <v>4087</v>
      </c>
      <c r="D19" s="18">
        <f>D17+D18</f>
        <v>4087</v>
      </c>
      <c r="E19" s="18">
        <f>E17+E18</f>
        <v>4087.000000000010</v>
      </c>
      <c r="F19" s="18">
        <f>F17+F18</f>
        <v>4087.000000000010</v>
      </c>
    </row>
    <row r="20" ht="20.05" customHeight="1">
      <c r="B20" t="s" s="19">
        <v>19</v>
      </c>
      <c r="C20" s="20"/>
      <c r="D20" s="21"/>
      <c r="E20" s="21"/>
      <c r="F20" s="22"/>
    </row>
    <row r="21" ht="20.05" customHeight="1">
      <c r="B21" t="s" s="10">
        <v>20</v>
      </c>
      <c r="C21" s="17">
        <f>-AVERAGE('Sales'!E28:E31)</f>
        <v>-2551</v>
      </c>
      <c r="D21" s="18">
        <f>C21</f>
        <v>-2551</v>
      </c>
      <c r="E21" s="18">
        <f>D21</f>
        <v>-2551</v>
      </c>
      <c r="F21" s="18">
        <f>E21</f>
        <v>-2551</v>
      </c>
    </row>
    <row r="22" ht="20.05" customHeight="1">
      <c r="B22" t="s" s="10">
        <v>21</v>
      </c>
      <c r="C22" s="17">
        <f>C6+C8+C21</f>
        <v>568.0889202308</v>
      </c>
      <c r="D22" s="18">
        <f>D6+D8+D21</f>
        <v>724.043366242340</v>
      </c>
      <c r="E22" s="18">
        <f>E6+E8+E21</f>
        <v>887.795534554450</v>
      </c>
      <c r="F22" s="18">
        <f>F6+F8+F21</f>
        <v>990.959400591090</v>
      </c>
    </row>
    <row r="23" ht="20.05" customHeight="1">
      <c r="B23" t="s" s="19">
        <v>22</v>
      </c>
      <c r="C23" s="20"/>
      <c r="D23" s="21"/>
      <c r="E23" s="21"/>
      <c r="F23" s="21"/>
    </row>
    <row r="24" ht="20.05" customHeight="1">
      <c r="B24" t="s" s="10">
        <v>23</v>
      </c>
      <c r="C24" s="17">
        <f>'Balance Sheet '!E30+'Balance Sheet '!D30-C10</f>
        <v>169045.6</v>
      </c>
      <c r="D24" s="18">
        <f>C24-D10</f>
        <v>171301.2</v>
      </c>
      <c r="E24" s="18">
        <f>D24-E10</f>
        <v>173556.8</v>
      </c>
      <c r="F24" s="18">
        <f>E24-F10</f>
        <v>175812.4</v>
      </c>
    </row>
    <row r="25" ht="20.05" customHeight="1">
      <c r="B25" t="s" s="10">
        <v>24</v>
      </c>
      <c r="C25" s="17">
        <f>'Balance Sheet '!E30-C21</f>
        <v>110031</v>
      </c>
      <c r="D25" s="18">
        <f>C25-D21</f>
        <v>112582</v>
      </c>
      <c r="E25" s="18">
        <f>D25-E21</f>
        <v>115133</v>
      </c>
      <c r="F25" s="18">
        <f>E25-F21</f>
        <v>117684</v>
      </c>
    </row>
    <row r="26" ht="20.05" customHeight="1">
      <c r="B26" t="s" s="10">
        <v>25</v>
      </c>
      <c r="C26" s="17">
        <f>C24-C25</f>
        <v>59014.6</v>
      </c>
      <c r="D26" s="18">
        <f>D24-D25</f>
        <v>58719.2</v>
      </c>
      <c r="E26" s="18">
        <f>E24-E25</f>
        <v>58423.8</v>
      </c>
      <c r="F26" s="18">
        <f>F24-F25</f>
        <v>58128.4</v>
      </c>
    </row>
    <row r="27" ht="20.05" customHeight="1">
      <c r="B27" t="s" s="10">
        <v>12</v>
      </c>
      <c r="C27" s="17">
        <f>'Balance Sheet '!F30+C13+C11</f>
        <v>50119.3</v>
      </c>
      <c r="D27" s="18">
        <f>C27+D13+D11</f>
        <v>47293.335</v>
      </c>
      <c r="E27" s="18">
        <f>D27+E13+E11</f>
        <v>44608.66825</v>
      </c>
      <c r="F27" s="18">
        <f>E27+F13+F11</f>
        <v>42058.2348375</v>
      </c>
    </row>
    <row r="28" ht="20.05" customHeight="1">
      <c r="B28" t="s" s="10">
        <v>15</v>
      </c>
      <c r="C28" s="17">
        <f>C16</f>
        <v>2281.637755838440</v>
      </c>
      <c r="D28" s="18">
        <f>C28+D16</f>
        <v>4305.3723994688</v>
      </c>
      <c r="E28" s="18">
        <f>D28+E16</f>
        <v>6073.182275280690</v>
      </c>
      <c r="F28" s="18">
        <f>E28+F16</f>
        <v>7634.544107366930</v>
      </c>
    </row>
    <row r="29" ht="20.05" customHeight="1">
      <c r="B29" t="s" s="10">
        <v>13</v>
      </c>
      <c r="C29" s="17">
        <f>'Balance Sheet '!G30+C22+C14</f>
        <v>10700.6622441616</v>
      </c>
      <c r="D29" s="18">
        <f>C29+D22+D14</f>
        <v>11207.4926005312</v>
      </c>
      <c r="E29" s="18">
        <f>D29+E22+E14</f>
        <v>11828.9494747193</v>
      </c>
      <c r="F29" s="18">
        <f>E29+F22+F14</f>
        <v>12522.6210551331</v>
      </c>
    </row>
    <row r="30" ht="20.05" customHeight="1">
      <c r="B30" t="s" s="10">
        <v>26</v>
      </c>
      <c r="C30" s="23">
        <f>C27+C28+C29-C19-C26</f>
        <v>4e-11</v>
      </c>
      <c r="D30" s="24">
        <f>D27+D28+D29-D19-D26</f>
        <v>0</v>
      </c>
      <c r="E30" s="24">
        <f>E27+E28+E29-E19-E26</f>
        <v>-2e-11</v>
      </c>
      <c r="F30" s="24">
        <f>F27+F28+F29-F19-F26</f>
        <v>2e-11</v>
      </c>
    </row>
    <row r="31" ht="20.05" customHeight="1">
      <c r="B31" t="s" s="10">
        <v>27</v>
      </c>
      <c r="C31" s="25">
        <f>C19-C27-C28</f>
        <v>-48313.9377558384</v>
      </c>
      <c r="D31" s="26">
        <f>D19-D27-D28</f>
        <v>-47511.7073994688</v>
      </c>
      <c r="E31" s="26">
        <f>E19-E27-E28</f>
        <v>-46594.8505252807</v>
      </c>
      <c r="F31" s="26">
        <f>F19-F27-F28</f>
        <v>-45605.7789448669</v>
      </c>
    </row>
    <row r="32" ht="20.05" customHeight="1">
      <c r="B32" t="s" s="19">
        <v>28</v>
      </c>
      <c r="C32" s="25"/>
      <c r="D32" s="26"/>
      <c r="E32" s="26"/>
      <c r="F32" s="26"/>
    </row>
    <row r="33" ht="20.05" customHeight="1">
      <c r="B33" t="s" s="10">
        <v>29</v>
      </c>
      <c r="C33" s="25">
        <f>'Cashflow '!M35-(C12-C11)</f>
        <v>14012.8889202308</v>
      </c>
      <c r="D33" s="26">
        <f>C33-(D12-D11)</f>
        <v>14392.3322864731</v>
      </c>
      <c r="E33" s="26">
        <f>D33-(E12-E11)</f>
        <v>14935.5278210275</v>
      </c>
      <c r="F33" s="26">
        <f>E33-(F12-F11)</f>
        <v>15581.8872216186</v>
      </c>
    </row>
    <row r="34" ht="20.05" customHeight="1">
      <c r="B34" t="s" s="10">
        <v>30</v>
      </c>
      <c r="C34" s="25"/>
      <c r="D34" s="26"/>
      <c r="E34" s="26"/>
      <c r="F34" s="26">
        <v>45960</v>
      </c>
    </row>
    <row r="35" ht="20.05" customHeight="1">
      <c r="B35" t="s" s="10">
        <v>31</v>
      </c>
      <c r="C35" s="25"/>
      <c r="D35" s="26"/>
      <c r="E35" s="26"/>
      <c r="F35" s="27">
        <f>F34/(F19+F26)</f>
        <v>0.738723852936733</v>
      </c>
    </row>
    <row r="36" ht="20.05" customHeight="1">
      <c r="B36" t="s" s="10">
        <v>32</v>
      </c>
      <c r="C36" s="25"/>
      <c r="D36" s="26"/>
      <c r="E36" s="26"/>
      <c r="F36" s="16">
        <f>-(C14+D14+E14+F14)/F34</f>
        <v>0.0206976972690514</v>
      </c>
    </row>
    <row r="37" ht="20.05" customHeight="1">
      <c r="B37" t="s" s="10">
        <v>3</v>
      </c>
      <c r="C37" s="25"/>
      <c r="D37" s="26"/>
      <c r="E37" s="26"/>
      <c r="F37" s="26">
        <f>SUM(C9:F11)</f>
        <v>3072.487221618680</v>
      </c>
    </row>
    <row r="38" ht="20.05" customHeight="1">
      <c r="B38" t="s" s="10">
        <v>33</v>
      </c>
      <c r="C38" s="25"/>
      <c r="D38" s="26"/>
      <c r="E38" s="26"/>
      <c r="F38" s="26">
        <f>'Balance Sheet '!D30/F37</f>
        <v>19.3035790621624</v>
      </c>
    </row>
    <row r="39" ht="20.05" customHeight="1">
      <c r="B39" t="s" s="10">
        <v>28</v>
      </c>
      <c r="C39" s="25"/>
      <c r="D39" s="26"/>
      <c r="E39" s="26"/>
      <c r="F39" s="26">
        <f>F34/F37</f>
        <v>14.9585650598042</v>
      </c>
    </row>
    <row r="40" ht="20.05" customHeight="1">
      <c r="B40" t="s" s="10">
        <v>34</v>
      </c>
      <c r="C40" s="25"/>
      <c r="D40" s="26"/>
      <c r="E40" s="26"/>
      <c r="F40" s="26">
        <v>20</v>
      </c>
    </row>
    <row r="41" ht="20.05" customHeight="1">
      <c r="B41" t="s" s="10">
        <v>35</v>
      </c>
      <c r="C41" s="25"/>
      <c r="D41" s="26"/>
      <c r="E41" s="26"/>
      <c r="F41" s="26">
        <f>F37*F40</f>
        <v>61449.7444323736</v>
      </c>
    </row>
    <row r="42" ht="20.05" customHeight="1">
      <c r="B42" t="s" s="10">
        <v>36</v>
      </c>
      <c r="C42" s="25"/>
      <c r="D42" s="26"/>
      <c r="E42" s="26"/>
      <c r="F42" s="26">
        <f>F34/F44</f>
        <v>8.06315789473684</v>
      </c>
    </row>
    <row r="43" ht="20.05" customHeight="1">
      <c r="B43" t="s" s="10">
        <v>37</v>
      </c>
      <c r="C43" s="25"/>
      <c r="D43" s="26"/>
      <c r="E43" s="26"/>
      <c r="F43" s="26">
        <f>F41/F42</f>
        <v>7621.051855189940</v>
      </c>
    </row>
    <row r="44" ht="20.05" customHeight="1">
      <c r="B44" t="s" s="10">
        <v>38</v>
      </c>
      <c r="C44" s="25"/>
      <c r="D44" s="26"/>
      <c r="E44" s="26"/>
      <c r="F44" s="26">
        <f>'Share price'!C20</f>
        <v>5700</v>
      </c>
    </row>
    <row r="45" ht="20.05" customHeight="1">
      <c r="B45" t="s" s="10">
        <v>39</v>
      </c>
      <c r="C45" s="25"/>
      <c r="D45" s="26"/>
      <c r="E45" s="26"/>
      <c r="F45" s="16">
        <f>F43/F44-1</f>
        <v>0.337026641261393</v>
      </c>
    </row>
    <row r="46" ht="20.05" customHeight="1">
      <c r="B46" t="s" s="10">
        <v>40</v>
      </c>
      <c r="C46" s="25"/>
      <c r="D46" s="26"/>
      <c r="E46" s="26"/>
      <c r="F46" s="16">
        <f>'Sales'!C31/'Sales'!C27-1</f>
        <v>0.136242159803654</v>
      </c>
    </row>
    <row r="47" ht="20.05" customHeight="1">
      <c r="B47" t="s" s="10">
        <v>41</v>
      </c>
      <c r="C47" s="25"/>
      <c r="D47" s="26"/>
      <c r="E47" s="26"/>
      <c r="F47" s="16">
        <f>('Sales'!D23+'Sales'!D30+'Sales'!D31+'Sales'!D24+'Sales'!D25+'Sales'!D26+'Sales'!D27+'Sales'!D28+'Sales'!D29)/('Sales'!C23+'Sales'!C24+'Sales'!C25+'Sales'!C26+'Sales'!C27+'Sales'!C28+'Sales'!C30+'Sales'!C31+'Sales'!C29)-1</f>
        <v>0.008030469158350709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2656" style="28" customWidth="1"/>
    <col min="2" max="2" width="9.39062" style="28" customWidth="1"/>
    <col min="3" max="11" width="10.5547" style="28" customWidth="1"/>
    <col min="12" max="16384" width="16.3516" style="28" customWidth="1"/>
  </cols>
  <sheetData>
    <row r="1" ht="25.25" customHeight="1"/>
    <row r="2" ht="27.65" customHeight="1">
      <c r="B2" t="s" s="2">
        <v>42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42</v>
      </c>
      <c r="D3" t="s" s="5">
        <v>34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46</v>
      </c>
      <c r="J3" t="s" s="5">
        <v>47</v>
      </c>
      <c r="K3" t="s" s="5">
        <v>47</v>
      </c>
    </row>
    <row r="4" ht="20.25" customHeight="1">
      <c r="B4" s="29">
        <v>2015</v>
      </c>
      <c r="C4" s="30">
        <v>6092</v>
      </c>
      <c r="D4" s="8"/>
      <c r="E4" s="31">
        <v>2063</v>
      </c>
      <c r="F4" s="32"/>
      <c r="G4" s="32">
        <v>-426</v>
      </c>
      <c r="H4" s="9"/>
      <c r="I4" s="33">
        <f>(E4+G4-C4)/C4</f>
        <v>-0.731286933683519</v>
      </c>
      <c r="J4" s="33"/>
      <c r="K4" s="33">
        <f>('Cashflow '!E4-'Cashflow '!C4)/'Cashflow '!C4</f>
        <v>-0.738808539944904</v>
      </c>
    </row>
    <row r="5" ht="20.05" customHeight="1">
      <c r="B5" s="34"/>
      <c r="C5" s="13">
        <v>6527</v>
      </c>
      <c r="D5" s="22"/>
      <c r="E5" s="14">
        <v>2098</v>
      </c>
      <c r="F5" s="26"/>
      <c r="G5" s="26">
        <v>-240</v>
      </c>
      <c r="H5" s="16">
        <f>C5/C4-1</f>
        <v>0.0714051214707814</v>
      </c>
      <c r="I5" s="16">
        <f>(E5+G5-C5)/C5</f>
        <v>-0.7153362953883869</v>
      </c>
      <c r="J5" s="16"/>
      <c r="K5" s="16">
        <f>('Cashflow '!E5-'Cashflow '!C5)/'Cashflow '!C5</f>
        <v>-0.577006871124518</v>
      </c>
    </row>
    <row r="6" ht="20.05" customHeight="1">
      <c r="B6" s="34"/>
      <c r="C6" s="13">
        <v>6962</v>
      </c>
      <c r="D6" s="22"/>
      <c r="E6" s="14">
        <v>2074</v>
      </c>
      <c r="F6" s="26"/>
      <c r="G6" s="26">
        <v>-348</v>
      </c>
      <c r="H6" s="16">
        <f>C6/C5-1</f>
        <v>0.0666462387007814</v>
      </c>
      <c r="I6" s="16">
        <f>(E6+G6-C6)/C6</f>
        <v>-0.7520827348463091</v>
      </c>
      <c r="J6" s="16"/>
      <c r="K6" s="16">
        <f>('Cashflow '!E6-'Cashflow '!C6)/'Cashflow '!C6</f>
        <v>-0.69255611173906</v>
      </c>
    </row>
    <row r="7" ht="20.05" customHeight="1">
      <c r="B7" s="34"/>
      <c r="C7" s="13">
        <v>7187</v>
      </c>
      <c r="D7" s="22"/>
      <c r="E7" s="14">
        <v>2519</v>
      </c>
      <c r="F7" s="26"/>
      <c r="G7" s="26">
        <v>-149</v>
      </c>
      <c r="H7" s="16">
        <f>C7/C6-1</f>
        <v>0.0323182993392703</v>
      </c>
      <c r="I7" s="16">
        <f>(E7+G7-C7)/C7</f>
        <v>-0.670237929595102</v>
      </c>
      <c r="J7" s="16">
        <f>AVERAGE(K4:K7)</f>
        <v>-0.700436032395788</v>
      </c>
      <c r="K7" s="16">
        <f>('Cashflow '!E7-'Cashflow '!C7)/'Cashflow '!C7</f>
        <v>-0.793372606774669</v>
      </c>
    </row>
    <row r="8" ht="20.05" customHeight="1">
      <c r="B8" s="35">
        <v>2016</v>
      </c>
      <c r="C8" s="13">
        <v>6812</v>
      </c>
      <c r="D8" s="22"/>
      <c r="E8" s="14">
        <v>2214</v>
      </c>
      <c r="F8" s="26"/>
      <c r="G8" s="26">
        <v>255</v>
      </c>
      <c r="H8" s="16">
        <f>C8/C7-1</f>
        <v>-0.0521775427855851</v>
      </c>
      <c r="I8" s="16">
        <f>(E8+G8-C8)/C8</f>
        <v>-0.637551379917792</v>
      </c>
      <c r="J8" s="16">
        <f>AVERAGE(K5:K8)</f>
        <v>-0.677393090234674</v>
      </c>
      <c r="K8" s="16">
        <f>('Cashflow '!E8-'Cashflow '!C8)/'Cashflow '!C8</f>
        <v>-0.6466367713004481</v>
      </c>
    </row>
    <row r="9" ht="20.05" customHeight="1">
      <c r="B9" s="34"/>
      <c r="C9" s="13">
        <v>7130</v>
      </c>
      <c r="D9" s="22"/>
      <c r="E9" s="14">
        <v>2229</v>
      </c>
      <c r="F9" s="26"/>
      <c r="G9" s="26">
        <v>246</v>
      </c>
      <c r="H9" s="16">
        <f>C9/C8-1</f>
        <v>0.0466823253082795</v>
      </c>
      <c r="I9" s="16">
        <f>(E9+G9-C9)/C9</f>
        <v>-0.652875175315568</v>
      </c>
      <c r="J9" s="16">
        <f>AVERAGE(K6:K9)</f>
        <v>-0.674903824560824</v>
      </c>
      <c r="K9" s="16">
        <f>('Cashflow '!E9-'Cashflow '!C9)/'Cashflow '!C9</f>
        <v>-0.567049808429119</v>
      </c>
    </row>
    <row r="10" ht="20.05" customHeight="1">
      <c r="B10" s="34"/>
      <c r="C10" s="13">
        <v>7582</v>
      </c>
      <c r="D10" s="22"/>
      <c r="E10" s="14">
        <v>2262</v>
      </c>
      <c r="F10" s="26"/>
      <c r="G10" s="26">
        <v>449</v>
      </c>
      <c r="H10" s="16">
        <f>C10/C9-1</f>
        <v>0.06339410939691439</v>
      </c>
      <c r="I10" s="16">
        <f>(E10+G10-C10)/C10</f>
        <v>-0.642442627275125</v>
      </c>
      <c r="J10" s="16">
        <f>AVERAGE(K7:K10)</f>
        <v>-0.651074347834345</v>
      </c>
      <c r="K10" s="16">
        <f>('Cashflow '!E10-'Cashflow '!C10)/'Cashflow '!C10</f>
        <v>-0.5972382048331421</v>
      </c>
    </row>
    <row r="11" ht="20.05" customHeight="1">
      <c r="B11" s="34"/>
      <c r="C11" s="13">
        <v>8290</v>
      </c>
      <c r="D11" s="22"/>
      <c r="E11" s="14">
        <v>2244</v>
      </c>
      <c r="F11" s="26"/>
      <c r="G11" s="26">
        <v>325</v>
      </c>
      <c r="H11" s="16">
        <f>C11/C10-1</f>
        <v>0.0933790556581377</v>
      </c>
      <c r="I11" s="16">
        <f>(E11+G11-C11)/C11</f>
        <v>-0.690108564535585</v>
      </c>
      <c r="J11" s="16">
        <f>AVERAGE(K8:K11)</f>
        <v>-0.659289637699119</v>
      </c>
      <c r="K11" s="16">
        <f>('Cashflow '!E11-'Cashflow '!C11)/'Cashflow '!C11</f>
        <v>-0.826233766233766</v>
      </c>
    </row>
    <row r="12" ht="20.05" customHeight="1">
      <c r="B12" s="35">
        <v>2017</v>
      </c>
      <c r="C12" s="13">
        <v>7289</v>
      </c>
      <c r="D12" s="22"/>
      <c r="E12" s="14">
        <v>2217</v>
      </c>
      <c r="F12" s="26"/>
      <c r="G12" s="26">
        <v>211</v>
      </c>
      <c r="H12" s="16">
        <f>C12/C11-1</f>
        <v>-0.120747889022919</v>
      </c>
      <c r="I12" s="16">
        <f>(E12+G12-C12)/C12</f>
        <v>-0.666895321717657</v>
      </c>
      <c r="J12" s="16">
        <f>AVERAGE(K9:K12)</f>
        <v>-0.67109019494666</v>
      </c>
      <c r="K12" s="16">
        <f>('Cashflow '!E12-'Cashflow '!C12)/'Cashflow '!C12</f>
        <v>-0.693839000290613</v>
      </c>
    </row>
    <row r="13" ht="20.05" customHeight="1">
      <c r="B13" s="34"/>
      <c r="C13" s="13">
        <v>7823</v>
      </c>
      <c r="D13" s="22"/>
      <c r="E13" s="14">
        <v>2189</v>
      </c>
      <c r="F13" s="26"/>
      <c r="G13" s="26">
        <v>658</v>
      </c>
      <c r="H13" s="16">
        <f>C13/C12-1</f>
        <v>0.07326107833722049</v>
      </c>
      <c r="I13" s="16">
        <f>(E13+G13-C13)/C13</f>
        <v>-0.636073117729771</v>
      </c>
      <c r="J13" s="16">
        <f>AVERAGE(K10:K13)</f>
        <v>-0.679006879922941</v>
      </c>
      <c r="K13" s="16">
        <f>('Cashflow '!E13-'Cashflow '!C13)/'Cashflow '!C13</f>
        <v>-0.598716548334244</v>
      </c>
    </row>
    <row r="14" ht="20.05" customHeight="1">
      <c r="B14" s="34"/>
      <c r="C14" s="13">
        <v>7453</v>
      </c>
      <c r="D14" s="22"/>
      <c r="E14" s="14">
        <v>2199</v>
      </c>
      <c r="F14" s="26"/>
      <c r="G14" s="26">
        <v>359</v>
      </c>
      <c r="H14" s="16">
        <f>C14/C13-1</f>
        <v>-0.0472964335932507</v>
      </c>
      <c r="I14" s="16">
        <f>(E14+G14-C14)/C14</f>
        <v>-0.656782503689789</v>
      </c>
      <c r="J14" s="16">
        <f>AVERAGE(K11:K14)</f>
        <v>-0.6638759001432269</v>
      </c>
      <c r="K14" s="16">
        <f>('Cashflow '!E14-'Cashflow '!C14)/'Cashflow '!C14</f>
        <v>-0.536714285714286</v>
      </c>
    </row>
    <row r="15" ht="20.05" customHeight="1">
      <c r="B15" s="34"/>
      <c r="C15" s="13">
        <v>7361</v>
      </c>
      <c r="D15" s="22"/>
      <c r="E15" s="14">
        <v>2180</v>
      </c>
      <c r="F15" s="26"/>
      <c r="G15" s="26">
        <v>73</v>
      </c>
      <c r="H15" s="16">
        <f>C15/C14-1</f>
        <v>-0.0123440225412586</v>
      </c>
      <c r="I15" s="16">
        <f>(E15+G15-C15)/C15</f>
        <v>-0.693927455508762</v>
      </c>
      <c r="J15" s="16">
        <f>AVERAGE(K12:K15)</f>
        <v>-0.6587072710598491</v>
      </c>
      <c r="K15" s="16">
        <f>('Cashflow '!E15-'Cashflow '!C15)/'Cashflow '!C15</f>
        <v>-0.805559249900253</v>
      </c>
    </row>
    <row r="16" ht="20.05" customHeight="1">
      <c r="B16" s="35">
        <v>2018</v>
      </c>
      <c r="C16" s="13">
        <v>5692</v>
      </c>
      <c r="D16" s="22"/>
      <c r="E16" s="14">
        <v>2055</v>
      </c>
      <c r="F16" s="26"/>
      <c r="G16" s="26">
        <v>-465</v>
      </c>
      <c r="H16" s="16">
        <f>C16/C15-1</f>
        <v>-0.226735497894308</v>
      </c>
      <c r="I16" s="16">
        <f>(E16+G16-C16)/C16</f>
        <v>-0.720660576247365</v>
      </c>
      <c r="J16" s="16">
        <f>AVERAGE(K13:K16)</f>
        <v>-0.629510779397656</v>
      </c>
      <c r="K16" s="16">
        <f>('Cashflow '!E16-'Cashflow '!C16)/'Cashflow '!C16</f>
        <v>-0.577053033641839</v>
      </c>
    </row>
    <row r="17" ht="20.05" customHeight="1">
      <c r="B17" s="34"/>
      <c r="C17" s="13">
        <v>5373</v>
      </c>
      <c r="D17" s="22"/>
      <c r="E17" s="14">
        <v>2008</v>
      </c>
      <c r="F17" s="26"/>
      <c r="G17" s="26">
        <v>30</v>
      </c>
      <c r="H17" s="16">
        <f>C17/C16-1</f>
        <v>-0.0560435699226985</v>
      </c>
      <c r="I17" s="16">
        <f>(E17+G17-C17)/C17</f>
        <v>-0.6206960729573791</v>
      </c>
      <c r="J17" s="16">
        <f>AVERAGE(K14:K17)</f>
        <v>-0.645863992456816</v>
      </c>
      <c r="K17" s="16">
        <f>('Cashflow '!E17-'Cashflow '!C17)/'Cashflow '!C17</f>
        <v>-0.664129400570885</v>
      </c>
    </row>
    <row r="18" ht="20.05" customHeight="1">
      <c r="B18" s="34"/>
      <c r="C18" s="13">
        <v>5704</v>
      </c>
      <c r="D18" s="22"/>
      <c r="E18" s="14">
        <v>2024</v>
      </c>
      <c r="F18" s="26"/>
      <c r="G18" s="26">
        <v>-818</v>
      </c>
      <c r="H18" s="16">
        <f>C18/C17-1</f>
        <v>0.0616043178857249</v>
      </c>
      <c r="I18" s="16">
        <f>(E18+G18-C18)/C18</f>
        <v>-0.788569424964937</v>
      </c>
      <c r="J18" s="16">
        <f>AVERAGE(K15:K18)</f>
        <v>-0.67415822740968</v>
      </c>
      <c r="K18" s="16">
        <f>('Cashflow '!E18-'Cashflow '!C18)/'Cashflow '!C18</f>
        <v>-0.649891225525743</v>
      </c>
    </row>
    <row r="19" ht="20.05" customHeight="1">
      <c r="B19" s="34"/>
      <c r="C19" s="13">
        <v>6370</v>
      </c>
      <c r="D19" s="22"/>
      <c r="E19" s="14">
        <v>2162</v>
      </c>
      <c r="F19" s="26"/>
      <c r="G19" s="26">
        <v>-832</v>
      </c>
      <c r="H19" s="16">
        <f>C19/C18-1</f>
        <v>0.116760168302945</v>
      </c>
      <c r="I19" s="16">
        <f>(E19+G19-C19)/C19</f>
        <v>-0.791208791208791</v>
      </c>
      <c r="J19" s="16">
        <f>AVERAGE(K16:K19)</f>
        <v>-0.638043046871197</v>
      </c>
      <c r="K19" s="16">
        <f>('Cashflow '!E19-'Cashflow '!C19)/'Cashflow '!C19</f>
        <v>-0.6610985277463191</v>
      </c>
    </row>
    <row r="20" ht="20.05" customHeight="1">
      <c r="B20" s="35">
        <v>2019</v>
      </c>
      <c r="C20" s="13">
        <v>6046</v>
      </c>
      <c r="D20" s="22"/>
      <c r="E20" s="14">
        <v>2373</v>
      </c>
      <c r="F20" s="26"/>
      <c r="G20" s="26">
        <v>-281</v>
      </c>
      <c r="H20" s="16">
        <f>C20/C19-1</f>
        <v>-0.0508634222919937</v>
      </c>
      <c r="I20" s="16">
        <f>(E20+G20-C20)/C20</f>
        <v>-0.653986106516705</v>
      </c>
      <c r="J20" s="16">
        <f>AVERAGE(K17:K20)</f>
        <v>-0.656892979655051</v>
      </c>
      <c r="K20" s="16">
        <f>('Cashflow '!E20-'Cashflow '!C20)/'Cashflow '!C20</f>
        <v>-0.652452764777258</v>
      </c>
    </row>
    <row r="21" ht="20.05" customHeight="1">
      <c r="B21" s="34"/>
      <c r="C21" s="13">
        <v>6246</v>
      </c>
      <c r="D21" s="22"/>
      <c r="E21" s="14">
        <v>2338</v>
      </c>
      <c r="F21" s="26"/>
      <c r="G21" s="26">
        <v>-40</v>
      </c>
      <c r="H21" s="16">
        <f>C21/C20-1</f>
        <v>0.0330797221303341</v>
      </c>
      <c r="I21" s="16">
        <f>(E21+G21-C21)/C21</f>
        <v>-0.632084534101825</v>
      </c>
      <c r="J21" s="16">
        <f>AVERAGE(K18:K21)</f>
        <v>-0.69692434996454</v>
      </c>
      <c r="K21" s="16">
        <f>('Cashflow '!E21-'Cashflow '!C21)/'Cashflow '!C21</f>
        <v>-0.824254881808839</v>
      </c>
    </row>
    <row r="22" ht="20.05" customHeight="1">
      <c r="B22" s="34"/>
      <c r="C22" s="13">
        <v>6561</v>
      </c>
      <c r="D22" s="22"/>
      <c r="E22" s="14">
        <v>2378</v>
      </c>
      <c r="F22" s="26"/>
      <c r="G22" s="26">
        <v>65</v>
      </c>
      <c r="H22" s="16">
        <f>C22/C21-1</f>
        <v>0.0504322766570605</v>
      </c>
      <c r="I22" s="16">
        <f>(E22+G22-C22)/C22</f>
        <v>-0.6276482243560429</v>
      </c>
      <c r="J22" s="16">
        <f>AVERAGE(K19:K22)</f>
        <v>-0.789090479720417</v>
      </c>
      <c r="K22" s="16">
        <f>('Cashflow '!E22-'Cashflow '!C22)/'Cashflow '!C22</f>
        <v>-1.01855574454925</v>
      </c>
    </row>
    <row r="23" ht="20.05" customHeight="1">
      <c r="B23" s="34"/>
      <c r="C23" s="13">
        <v>7264.5</v>
      </c>
      <c r="D23" s="14">
        <v>7389.2</v>
      </c>
      <c r="E23" s="14">
        <v>2481</v>
      </c>
      <c r="F23" s="26"/>
      <c r="G23" s="26">
        <v>1886.3</v>
      </c>
      <c r="H23" s="16">
        <f>C23/C22-1</f>
        <v>0.107224508459076</v>
      </c>
      <c r="I23" s="16">
        <f>(E23+G23-C23)/C23</f>
        <v>-0.398816160781885</v>
      </c>
      <c r="J23" s="16">
        <f>AVERAGE(K20:K23)</f>
        <v>-0.821838118018173</v>
      </c>
      <c r="K23" s="16">
        <f>('Cashflow '!E23-'Cashflow '!C23)/'Cashflow '!C23</f>
        <v>-0.792089080937344</v>
      </c>
    </row>
    <row r="24" ht="20.05" customHeight="1">
      <c r="B24" s="35">
        <v>2020</v>
      </c>
      <c r="C24" s="13">
        <v>6523</v>
      </c>
      <c r="D24" s="14">
        <v>6348.3</v>
      </c>
      <c r="E24" s="14">
        <v>2468</v>
      </c>
      <c r="F24" s="26"/>
      <c r="G24" s="26">
        <v>-593</v>
      </c>
      <c r="H24" s="16">
        <f>C24/C23-1</f>
        <v>-0.102071718631702</v>
      </c>
      <c r="I24" s="16">
        <f>(E24+G24-C24)/C24</f>
        <v>-0.712555572589299</v>
      </c>
      <c r="J24" s="16">
        <f>AVERAGE(K21:K24)</f>
        <v>-0.82263897406236</v>
      </c>
      <c r="K24" s="16">
        <f>('Cashflow '!E24-'Cashflow '!C24)/'Cashflow '!C24</f>
        <v>-0.655656188954005</v>
      </c>
    </row>
    <row r="25" ht="20.05" customHeight="1">
      <c r="B25" s="34"/>
      <c r="C25" s="13">
        <v>6929</v>
      </c>
      <c r="D25" s="14">
        <v>6558.3</v>
      </c>
      <c r="E25" s="14">
        <v>2493</v>
      </c>
      <c r="F25" s="26"/>
      <c r="G25" s="26">
        <v>275</v>
      </c>
      <c r="H25" s="16">
        <f>C25/C24-1</f>
        <v>0.0622413000153304</v>
      </c>
      <c r="I25" s="16">
        <f>(E25+G25-C25)/C25</f>
        <v>-0.600519555491413</v>
      </c>
      <c r="J25" s="16">
        <f>AVERAGE(K22:K25)</f>
        <v>-0.765542805232569</v>
      </c>
      <c r="K25" s="16">
        <f>('Cashflow '!E25-'Cashflow '!C25)/'Cashflow '!C25</f>
        <v>-0.595870206489676</v>
      </c>
    </row>
    <row r="26" ht="20.05" customHeight="1">
      <c r="B26" s="34"/>
      <c r="C26" s="13">
        <f>20592-SUM(C24:C25)</f>
        <v>7140</v>
      </c>
      <c r="D26" s="14">
        <v>7217.1</v>
      </c>
      <c r="E26" s="14">
        <f>7405-SUM(E24:E25)</f>
        <v>2444</v>
      </c>
      <c r="F26" s="26"/>
      <c r="G26" s="26">
        <f>-418.025-SUM(G24:G25)</f>
        <v>-100.025</v>
      </c>
      <c r="H26" s="16">
        <f>C26/C25-1</f>
        <v>0.0304517246355896</v>
      </c>
      <c r="I26" s="16">
        <f>(E26+G26-C26)/C26</f>
        <v>-0.67171218487395</v>
      </c>
      <c r="J26" s="16">
        <f>AVERAGE(K23:K26)</f>
        <v>-0.736775386830071</v>
      </c>
      <c r="K26" s="16">
        <f>('Cashflow '!E26-'Cashflow '!C26)/'Cashflow '!C26</f>
        <v>-0.90348607093926</v>
      </c>
    </row>
    <row r="27" ht="20.05" customHeight="1">
      <c r="B27" s="34"/>
      <c r="C27" s="13">
        <v>7334</v>
      </c>
      <c r="D27" s="14">
        <v>7497</v>
      </c>
      <c r="E27" s="14">
        <v>2606</v>
      </c>
      <c r="F27" s="26"/>
      <c r="G27" s="26">
        <v>-211.975</v>
      </c>
      <c r="H27" s="16">
        <f>C27/C26-1</f>
        <v>0.0271708683473389</v>
      </c>
      <c r="I27" s="16">
        <f>(E27+G27-C27)/C27</f>
        <v>-0.673571720752659</v>
      </c>
      <c r="J27" s="16">
        <f>AVERAGE(K24:K27)</f>
        <v>-0.612476409977705</v>
      </c>
      <c r="K27" s="16">
        <f>('Cashflow '!E27-'Cashflow '!C27)/'Cashflow '!C27</f>
        <v>-0.294893173527879</v>
      </c>
    </row>
    <row r="28" ht="20.05" customHeight="1">
      <c r="B28" s="35">
        <v>2021</v>
      </c>
      <c r="C28" s="13">
        <v>7345.3</v>
      </c>
      <c r="D28" s="14">
        <v>7554.02</v>
      </c>
      <c r="E28" s="26">
        <v>2495.5</v>
      </c>
      <c r="F28" s="26"/>
      <c r="G28" s="26">
        <v>203.1</v>
      </c>
      <c r="H28" s="16">
        <f>C28/C27-1</f>
        <v>0.00154076902099809</v>
      </c>
      <c r="I28" s="16">
        <f>(E28+G28-C28)/C28</f>
        <v>-0.632608606864253</v>
      </c>
      <c r="J28" s="16">
        <f>AVERAGE(K25:K28)</f>
        <v>-0.609306289101057</v>
      </c>
      <c r="K28" s="16">
        <f>('Cashflow '!E28-'Cashflow '!C28)/'Cashflow '!C28</f>
        <v>-0.642975705447412</v>
      </c>
    </row>
    <row r="29" ht="20.05" customHeight="1">
      <c r="B29" s="34"/>
      <c r="C29" s="13">
        <v>7638.7</v>
      </c>
      <c r="D29" s="14">
        <v>7565.659</v>
      </c>
      <c r="E29" s="14">
        <v>3149.5</v>
      </c>
      <c r="F29" s="26">
        <v>6167</v>
      </c>
      <c r="G29" s="26">
        <v>5437.9</v>
      </c>
      <c r="H29" s="16">
        <f>C29/C28-1</f>
        <v>0.0399439097109716</v>
      </c>
      <c r="I29" s="16">
        <f>(G29+E29-F29-C29)/C29</f>
        <v>-0.683139801275086</v>
      </c>
      <c r="J29" s="16">
        <f>AVERAGE(K26:K29)</f>
        <v>-0.628254615807848</v>
      </c>
      <c r="K29" s="16">
        <f>('Cashflow '!E29-'Cashflow '!C29)/'Cashflow '!C29</f>
        <v>-0.671663513316839</v>
      </c>
    </row>
    <row r="30" ht="20.05" customHeight="1">
      <c r="B30" s="34"/>
      <c r="C30" s="13">
        <f>23055.1-SUM(C28:C29)</f>
        <v>8071.1</v>
      </c>
      <c r="D30" s="14">
        <v>7944.248</v>
      </c>
      <c r="E30" s="26">
        <f>7606-SUM(E28:E29)</f>
        <v>1961</v>
      </c>
      <c r="F30" s="21">
        <f>6167-F29-F28</f>
        <v>0</v>
      </c>
      <c r="G30" s="26">
        <f>5866.1-SUM(G28:G29)</f>
        <v>225.1</v>
      </c>
      <c r="H30" s="16">
        <f>C30/C29-1</f>
        <v>0.0566064906332229</v>
      </c>
      <c r="I30" s="16">
        <f>(G30+E30-F30-C30)/C30</f>
        <v>-0.729144726245493</v>
      </c>
      <c r="J30" s="16">
        <f>AVERAGE(K27:K30)</f>
        <v>-0.520412212769345</v>
      </c>
      <c r="K30" s="16">
        <f>('Cashflow '!E30-'Cashflow '!C30)/'Cashflow '!C30</f>
        <v>-0.472116458785249</v>
      </c>
    </row>
    <row r="31" ht="20.05" customHeight="1">
      <c r="B31" s="34"/>
      <c r="C31" s="13">
        <f>31388.3-SUM(C28:C30)</f>
        <v>8333.200000000001</v>
      </c>
      <c r="D31" s="14">
        <v>9039.632</v>
      </c>
      <c r="E31" s="26">
        <f>10204-SUM(E28:E30)</f>
        <v>2598</v>
      </c>
      <c r="F31" s="21"/>
      <c r="G31" s="21">
        <f>6860.1-SUM(G28:G30)</f>
        <v>994</v>
      </c>
      <c r="H31" s="16">
        <f>C31/C30-1</f>
        <v>0.0324738883175775</v>
      </c>
      <c r="I31" s="16">
        <f>(G31+E31-F31-C31)/C31</f>
        <v>-0.568953103249652</v>
      </c>
      <c r="J31" s="16">
        <f>AVERAGE(K28:K31)</f>
        <v>-0.618064633495671</v>
      </c>
      <c r="K31" s="16">
        <f>('Cashflow '!E31-'Cashflow '!C31)/'Cashflow '!C31</f>
        <v>-0.685502856433184</v>
      </c>
    </row>
    <row r="32" ht="20.05" customHeight="1">
      <c r="B32" s="35">
        <v>2022</v>
      </c>
      <c r="C32" s="36"/>
      <c r="D32" s="14">
        <f>'Model'!C6</f>
        <v>8166.536</v>
      </c>
      <c r="E32" s="22"/>
      <c r="F32" s="21"/>
      <c r="G32" s="21"/>
      <c r="H32" s="12"/>
      <c r="I32" s="16">
        <f>'Model'!C7</f>
        <v>-0.618064633495671</v>
      </c>
      <c r="J32" s="16"/>
      <c r="K32" s="16"/>
    </row>
    <row r="33" ht="19.75" customHeight="1">
      <c r="B33" s="34"/>
      <c r="C33" s="36"/>
      <c r="D33" s="14">
        <f>'Model'!D6</f>
        <v>8574.862800000001</v>
      </c>
      <c r="E33" s="22"/>
      <c r="F33" s="21"/>
      <c r="G33" s="21"/>
      <c r="H33" s="12"/>
      <c r="I33" s="12"/>
      <c r="J33" s="12"/>
      <c r="K33" s="12"/>
    </row>
    <row r="34" ht="19.75" customHeight="1">
      <c r="B34" s="34"/>
      <c r="C34" s="36"/>
      <c r="D34" s="14">
        <f>'Model'!E6</f>
        <v>9003.605939999999</v>
      </c>
      <c r="E34" s="22"/>
      <c r="F34" s="21"/>
      <c r="G34" s="21"/>
      <c r="H34" s="12"/>
      <c r="I34" s="12"/>
      <c r="J34" s="12"/>
      <c r="K34" s="12"/>
    </row>
    <row r="35" ht="19.75" customHeight="1">
      <c r="B35" s="34"/>
      <c r="C35" s="36"/>
      <c r="D35" s="14">
        <f>'Model'!F6</f>
        <v>9273.7141182</v>
      </c>
      <c r="E35" s="22"/>
      <c r="F35" s="21"/>
      <c r="G35" s="21"/>
      <c r="H35" s="12"/>
      <c r="I35" s="12"/>
      <c r="J35" s="12"/>
      <c r="K35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5156" style="37" customWidth="1"/>
    <col min="2" max="2" width="7.91406" style="37" customWidth="1"/>
    <col min="3" max="13" width="10.9688" style="37" customWidth="1"/>
    <col min="14" max="16384" width="16.3516" style="37" customWidth="1"/>
  </cols>
  <sheetData>
    <row r="1" ht="18.85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5">
        <v>1</v>
      </c>
      <c r="C3" t="s" s="5">
        <v>49</v>
      </c>
      <c r="D3" t="s" s="5">
        <v>50</v>
      </c>
      <c r="E3" t="s" s="5">
        <v>8</v>
      </c>
      <c r="F3" t="s" s="5">
        <v>51</v>
      </c>
      <c r="G3" t="s" s="5">
        <v>10</v>
      </c>
      <c r="H3" t="s" s="5">
        <v>12</v>
      </c>
      <c r="I3" t="s" s="5">
        <v>13</v>
      </c>
      <c r="J3" t="s" s="5">
        <v>11</v>
      </c>
      <c r="K3" t="s" s="5">
        <v>52</v>
      </c>
      <c r="L3" t="s" s="5">
        <v>48</v>
      </c>
      <c r="M3" t="s" s="5">
        <v>53</v>
      </c>
    </row>
    <row r="4" ht="20.25" customHeight="1">
      <c r="B4" s="29">
        <v>2014</v>
      </c>
      <c r="C4" s="38">
        <v>5808</v>
      </c>
      <c r="D4" s="32"/>
      <c r="E4" s="32">
        <v>1517</v>
      </c>
      <c r="F4" s="32">
        <v>-199</v>
      </c>
      <c r="G4" s="32"/>
      <c r="H4" s="32"/>
      <c r="I4" s="32"/>
      <c r="J4" s="32">
        <v>38</v>
      </c>
      <c r="K4" s="32">
        <f>E4+F4+G4</f>
        <v>1318</v>
      </c>
      <c r="L4" s="32"/>
      <c r="M4" s="32"/>
    </row>
    <row r="5" ht="20.05" customHeight="1">
      <c r="B5" s="34"/>
      <c r="C5" s="25">
        <v>5967</v>
      </c>
      <c r="D5" s="26"/>
      <c r="E5" s="26">
        <v>2524</v>
      </c>
      <c r="F5" s="26">
        <v>-1647</v>
      </c>
      <c r="G5" s="26"/>
      <c r="H5" s="26"/>
      <c r="I5" s="26"/>
      <c r="J5" s="26">
        <v>-2186</v>
      </c>
      <c r="K5" s="26">
        <f>E5+F5+G5</f>
        <v>877</v>
      </c>
      <c r="L5" s="26"/>
      <c r="M5" s="26"/>
    </row>
    <row r="6" ht="20.05" customHeight="1">
      <c r="B6" s="34"/>
      <c r="C6" s="25">
        <v>6193</v>
      </c>
      <c r="D6" s="26"/>
      <c r="E6" s="26">
        <v>1904</v>
      </c>
      <c r="F6" s="26">
        <v>-1548</v>
      </c>
      <c r="G6" s="26"/>
      <c r="H6" s="26"/>
      <c r="I6" s="26"/>
      <c r="J6" s="26">
        <v>-251</v>
      </c>
      <c r="K6" s="26">
        <f>E6+F6+G6</f>
        <v>356</v>
      </c>
      <c r="L6" s="26"/>
      <c r="M6" s="26"/>
    </row>
    <row r="7" ht="20.05" customHeight="1">
      <c r="B7" s="34"/>
      <c r="C7" s="25">
        <v>6790</v>
      </c>
      <c r="D7" s="26"/>
      <c r="E7" s="26">
        <v>1403</v>
      </c>
      <c r="F7" s="26">
        <v>-1609</v>
      </c>
      <c r="G7" s="26"/>
      <c r="H7" s="26"/>
      <c r="I7" s="26"/>
      <c r="J7" s="26">
        <v>1342</v>
      </c>
      <c r="K7" s="26">
        <f>E7+F7+G7</f>
        <v>-206</v>
      </c>
      <c r="L7" s="26"/>
      <c r="M7" s="26"/>
    </row>
    <row r="8" ht="20.05" customHeight="1">
      <c r="B8" s="35">
        <v>2015</v>
      </c>
      <c r="C8" s="25">
        <v>5575</v>
      </c>
      <c r="D8" s="26"/>
      <c r="E8" s="26">
        <v>1970</v>
      </c>
      <c r="F8" s="26">
        <v>-1382</v>
      </c>
      <c r="G8" s="26"/>
      <c r="H8" s="26"/>
      <c r="I8" s="26"/>
      <c r="J8" s="26">
        <v>-640</v>
      </c>
      <c r="K8" s="26">
        <f>E8+F8+G8</f>
        <v>588</v>
      </c>
      <c r="L8" s="26">
        <f>AVERAGE(K5:K8)</f>
        <v>403.75</v>
      </c>
      <c r="M8" s="26">
        <f>-(J8-G8)+M7</f>
        <v>640</v>
      </c>
    </row>
    <row r="9" ht="20.05" customHeight="1">
      <c r="B9" s="34"/>
      <c r="C9" s="25">
        <v>6003</v>
      </c>
      <c r="D9" s="26"/>
      <c r="E9" s="26">
        <v>2599</v>
      </c>
      <c r="F9" s="26">
        <v>-1396</v>
      </c>
      <c r="G9" s="26"/>
      <c r="H9" s="26"/>
      <c r="I9" s="26"/>
      <c r="J9" s="26">
        <v>4618</v>
      </c>
      <c r="K9" s="26">
        <f>E9+F9+G9</f>
        <v>1203</v>
      </c>
      <c r="L9" s="26">
        <f>AVERAGE(K6:K9)</f>
        <v>485.25</v>
      </c>
      <c r="M9" s="26">
        <f>-(J9-G9)+M8</f>
        <v>-3978</v>
      </c>
    </row>
    <row r="10" ht="20.05" customHeight="1">
      <c r="B10" s="34"/>
      <c r="C10" s="25">
        <v>6952</v>
      </c>
      <c r="D10" s="26"/>
      <c r="E10" s="26">
        <v>2800</v>
      </c>
      <c r="F10" s="26">
        <v>-1638</v>
      </c>
      <c r="G10" s="26"/>
      <c r="H10" s="26"/>
      <c r="I10" s="26"/>
      <c r="J10" s="26">
        <v>-6816</v>
      </c>
      <c r="K10" s="26">
        <f>E10+F10+G10</f>
        <v>1162</v>
      </c>
      <c r="L10" s="26">
        <f>AVERAGE(K7:K10)</f>
        <v>686.75</v>
      </c>
      <c r="M10" s="26">
        <f>-(J10-G10)+M9</f>
        <v>2838</v>
      </c>
    </row>
    <row r="11" ht="20.05" customHeight="1">
      <c r="B11" s="34"/>
      <c r="C11" s="25">
        <v>7700</v>
      </c>
      <c r="D11" s="26"/>
      <c r="E11" s="26">
        <v>1338</v>
      </c>
      <c r="F11" s="26">
        <v>-2729</v>
      </c>
      <c r="G11" s="26"/>
      <c r="H11" s="26"/>
      <c r="I11" s="26"/>
      <c r="J11" s="26">
        <v>1311</v>
      </c>
      <c r="K11" s="26">
        <f>E11+F11+G11</f>
        <v>-1391</v>
      </c>
      <c r="L11" s="26">
        <f>AVERAGE(K8:K11)</f>
        <v>390.5</v>
      </c>
      <c r="M11" s="26">
        <f>-(J11-G11)+M10</f>
        <v>1527</v>
      </c>
    </row>
    <row r="12" ht="20.05" customHeight="1">
      <c r="B12" s="35">
        <v>2016</v>
      </c>
      <c r="C12" s="25">
        <v>6882</v>
      </c>
      <c r="D12" s="26"/>
      <c r="E12" s="26">
        <v>2107</v>
      </c>
      <c r="F12" s="26">
        <v>-1644</v>
      </c>
      <c r="G12" s="26">
        <v>-121</v>
      </c>
      <c r="H12" s="26"/>
      <c r="I12" s="26"/>
      <c r="J12" s="26">
        <v>-1511</v>
      </c>
      <c r="K12" s="26">
        <f>E12+F12+G12</f>
        <v>342</v>
      </c>
      <c r="L12" s="26">
        <f>AVERAGE(K9:K12)</f>
        <v>329</v>
      </c>
      <c r="M12" s="26">
        <f>-(J12-G12)+M11</f>
        <v>2917</v>
      </c>
    </row>
    <row r="13" ht="20.05" customHeight="1">
      <c r="B13" s="34"/>
      <c r="C13" s="25">
        <v>7324</v>
      </c>
      <c r="D13" s="26"/>
      <c r="E13" s="26">
        <v>2939</v>
      </c>
      <c r="F13" s="26">
        <v>-2062</v>
      </c>
      <c r="G13" s="26">
        <v>-139</v>
      </c>
      <c r="H13" s="26"/>
      <c r="I13" s="26"/>
      <c r="J13" s="26">
        <v>-1199</v>
      </c>
      <c r="K13" s="26">
        <f>E13+F13+G13</f>
        <v>738</v>
      </c>
      <c r="L13" s="26">
        <f>AVERAGE(K10:K13)</f>
        <v>212.75</v>
      </c>
      <c r="M13" s="26">
        <f>-(J13-G13)+M12</f>
        <v>3977</v>
      </c>
    </row>
    <row r="14" ht="20.05" customHeight="1">
      <c r="B14" s="34"/>
      <c r="C14" s="25">
        <v>7000</v>
      </c>
      <c r="D14" s="26"/>
      <c r="E14" s="26">
        <v>3243</v>
      </c>
      <c r="F14" s="26">
        <v>-1937</v>
      </c>
      <c r="G14" s="26">
        <v>-128</v>
      </c>
      <c r="H14" s="26"/>
      <c r="I14" s="26"/>
      <c r="J14" s="26">
        <v>-1199</v>
      </c>
      <c r="K14" s="26">
        <f>E14+F14+G14</f>
        <v>1178</v>
      </c>
      <c r="L14" s="26">
        <f>AVERAGE(K11:K14)</f>
        <v>216.75</v>
      </c>
      <c r="M14" s="26">
        <f>-(J14-G14)+M13</f>
        <v>5048</v>
      </c>
    </row>
    <row r="15" ht="20.05" customHeight="1">
      <c r="B15" s="34"/>
      <c r="C15" s="25">
        <v>7519</v>
      </c>
      <c r="D15" s="26"/>
      <c r="E15" s="26">
        <v>1462</v>
      </c>
      <c r="F15" s="26">
        <v>-1648</v>
      </c>
      <c r="G15" s="26">
        <v>-383</v>
      </c>
      <c r="H15" s="26"/>
      <c r="I15" s="26"/>
      <c r="J15" s="26">
        <v>-342</v>
      </c>
      <c r="K15" s="26">
        <f>E15+F15+G15</f>
        <v>-569</v>
      </c>
      <c r="L15" s="26">
        <f>AVERAGE(K12:K15)</f>
        <v>422.25</v>
      </c>
      <c r="M15" s="26">
        <f>-(J15-G15)+M14</f>
        <v>5007</v>
      </c>
    </row>
    <row r="16" ht="20.05" customHeight="1">
      <c r="B16" s="35">
        <v>2017</v>
      </c>
      <c r="C16" s="25">
        <v>6807</v>
      </c>
      <c r="D16" s="26"/>
      <c r="E16" s="26">
        <v>2879</v>
      </c>
      <c r="F16" s="26">
        <v>-1828</v>
      </c>
      <c r="G16" s="26">
        <v>-109</v>
      </c>
      <c r="H16" s="26"/>
      <c r="I16" s="26"/>
      <c r="J16" s="26">
        <v>-941</v>
      </c>
      <c r="K16" s="26">
        <f>E16+F16+G16</f>
        <v>942</v>
      </c>
      <c r="L16" s="26">
        <f>AVERAGE(K13:K16)</f>
        <v>572.25</v>
      </c>
      <c r="M16" s="26">
        <f>-(J16-G16)+M15</f>
        <v>5839</v>
      </c>
    </row>
    <row r="17" ht="20.05" customHeight="1">
      <c r="B17" s="34"/>
      <c r="C17" s="25">
        <v>7357</v>
      </c>
      <c r="D17" s="26"/>
      <c r="E17" s="26">
        <v>2471</v>
      </c>
      <c r="F17" s="26">
        <v>-1007</v>
      </c>
      <c r="G17" s="26">
        <v>-460</v>
      </c>
      <c r="H17" s="26"/>
      <c r="I17" s="26"/>
      <c r="J17" s="26">
        <v>-1019</v>
      </c>
      <c r="K17" s="26">
        <f>E17+F17+G17</f>
        <v>1004</v>
      </c>
      <c r="L17" s="26">
        <f>AVERAGE(K14:K17)</f>
        <v>638.75</v>
      </c>
      <c r="M17" s="26">
        <f>-(J17-G17)+M16</f>
        <v>6398</v>
      </c>
    </row>
    <row r="18" ht="20.05" customHeight="1">
      <c r="B18" s="34"/>
      <c r="C18" s="25">
        <v>6895</v>
      </c>
      <c r="D18" s="26"/>
      <c r="E18" s="26">
        <v>2414</v>
      </c>
      <c r="F18" s="26">
        <v>-1406</v>
      </c>
      <c r="G18" s="26">
        <v>-132</v>
      </c>
      <c r="H18" s="26"/>
      <c r="I18" s="26"/>
      <c r="J18" s="26">
        <v>-1762</v>
      </c>
      <c r="K18" s="26">
        <f>E18+F18+G18</f>
        <v>876</v>
      </c>
      <c r="L18" s="26">
        <f>AVERAGE(K15:K18)</f>
        <v>563.25</v>
      </c>
      <c r="M18" s="26">
        <f>-(J18-G18)+M17</f>
        <v>8028</v>
      </c>
    </row>
    <row r="19" ht="20.05" customHeight="1">
      <c r="B19" s="34"/>
      <c r="C19" s="25">
        <v>3532</v>
      </c>
      <c r="D19" s="26"/>
      <c r="E19" s="26">
        <v>1197</v>
      </c>
      <c r="F19" s="26">
        <v>-2532</v>
      </c>
      <c r="G19" s="26">
        <v>-245</v>
      </c>
      <c r="H19" s="26"/>
      <c r="I19" s="26"/>
      <c r="J19" s="26">
        <v>1607</v>
      </c>
      <c r="K19" s="26">
        <f>E19+F19+G19</f>
        <v>-1580</v>
      </c>
      <c r="L19" s="26">
        <f>AVERAGE(K16:K19)</f>
        <v>310.5</v>
      </c>
      <c r="M19" s="26">
        <f>-(J19-G19)+M18</f>
        <v>6176</v>
      </c>
    </row>
    <row r="20" ht="20.05" customHeight="1">
      <c r="B20" s="35">
        <v>2018</v>
      </c>
      <c r="C20" s="25">
        <v>5769</v>
      </c>
      <c r="D20" s="26"/>
      <c r="E20" s="26">
        <v>2005</v>
      </c>
      <c r="F20" s="26">
        <v>-1454</v>
      </c>
      <c r="G20" s="26">
        <v>-179</v>
      </c>
      <c r="H20" s="26"/>
      <c r="I20" s="26"/>
      <c r="J20" s="26">
        <v>-801</v>
      </c>
      <c r="K20" s="26">
        <f>E20+F20+G20</f>
        <v>372</v>
      </c>
      <c r="L20" s="26">
        <f>AVERAGE(K17:K20)</f>
        <v>168</v>
      </c>
      <c r="M20" s="26">
        <f>-(J20-G20)+M19</f>
        <v>6798</v>
      </c>
    </row>
    <row r="21" ht="20.05" customHeight="1">
      <c r="B21" s="34"/>
      <c r="C21" s="25">
        <v>5838</v>
      </c>
      <c r="D21" s="26"/>
      <c r="E21" s="26">
        <v>1026</v>
      </c>
      <c r="F21" s="26">
        <v>-985</v>
      </c>
      <c r="G21" s="26">
        <v>-87</v>
      </c>
      <c r="H21" s="26"/>
      <c r="I21" s="26"/>
      <c r="J21" s="26">
        <v>-178</v>
      </c>
      <c r="K21" s="26">
        <f>E21+F21+G21</f>
        <v>-46</v>
      </c>
      <c r="L21" s="26">
        <f>AVERAGE(K18:K21)</f>
        <v>-94.5</v>
      </c>
      <c r="M21" s="26">
        <f>-(J21-G21)+M20</f>
        <v>6889</v>
      </c>
    </row>
    <row r="22" ht="20.05" customHeight="1">
      <c r="B22" s="34"/>
      <c r="C22" s="25">
        <v>6467</v>
      </c>
      <c r="D22" s="26"/>
      <c r="E22" s="26">
        <v>-120</v>
      </c>
      <c r="F22" s="26">
        <v>-1472</v>
      </c>
      <c r="G22" s="26">
        <v>-214</v>
      </c>
      <c r="H22" s="26"/>
      <c r="I22" s="26"/>
      <c r="J22" s="26">
        <v>1394</v>
      </c>
      <c r="K22" s="26">
        <f>E22+F22+G22</f>
        <v>-1806</v>
      </c>
      <c r="L22" s="26">
        <f>AVERAGE(K19:K22)</f>
        <v>-765</v>
      </c>
      <c r="M22" s="26">
        <f>-(J22-G22)+M21</f>
        <v>5281</v>
      </c>
    </row>
    <row r="23" ht="20.05" customHeight="1">
      <c r="B23" s="34"/>
      <c r="C23" s="25">
        <v>6017</v>
      </c>
      <c r="D23" s="26"/>
      <c r="E23" s="26">
        <v>1251</v>
      </c>
      <c r="F23" s="26">
        <v>-1541</v>
      </c>
      <c r="G23" s="26">
        <v>-315</v>
      </c>
      <c r="H23" s="26"/>
      <c r="I23" s="26"/>
      <c r="J23" s="26">
        <v>210</v>
      </c>
      <c r="K23" s="26">
        <f>E23+F23+G23</f>
        <v>-605</v>
      </c>
      <c r="L23" s="26">
        <f>AVERAGE(K20:K23)</f>
        <v>-521.25</v>
      </c>
      <c r="M23" s="26">
        <f>-(J23-G23)+M22</f>
        <v>4756</v>
      </c>
    </row>
    <row r="24" ht="20.05" customHeight="1">
      <c r="B24" s="35">
        <v>2019</v>
      </c>
      <c r="C24" s="25">
        <v>5631</v>
      </c>
      <c r="D24" s="26"/>
      <c r="E24" s="26">
        <v>1939</v>
      </c>
      <c r="F24" s="26">
        <v>-2220</v>
      </c>
      <c r="G24" s="26">
        <v>-256</v>
      </c>
      <c r="H24" s="26"/>
      <c r="I24" s="26"/>
      <c r="J24" s="26">
        <v>1476</v>
      </c>
      <c r="K24" s="26">
        <f>E24+F24+G24</f>
        <v>-537</v>
      </c>
      <c r="L24" s="26">
        <f>AVERAGE(K21:K24)</f>
        <v>-748.5</v>
      </c>
      <c r="M24" s="26">
        <f>-(J24-G24)+M23</f>
        <v>3024</v>
      </c>
    </row>
    <row r="25" ht="20.05" customHeight="1">
      <c r="B25" s="34"/>
      <c r="C25" s="25">
        <v>6441</v>
      </c>
      <c r="D25" s="26"/>
      <c r="E25" s="26">
        <v>2603</v>
      </c>
      <c r="F25" s="26">
        <v>-1980</v>
      </c>
      <c r="G25" s="26">
        <v>-551</v>
      </c>
      <c r="H25" s="26"/>
      <c r="I25" s="26"/>
      <c r="J25" s="26">
        <v>-1074</v>
      </c>
      <c r="K25" s="26">
        <f>E25+F25+G25</f>
        <v>72</v>
      </c>
      <c r="L25" s="26">
        <f>AVERAGE(K22:K25)</f>
        <v>-719</v>
      </c>
      <c r="M25" s="26">
        <f>-(J25-G25)+M24</f>
        <v>3547</v>
      </c>
    </row>
    <row r="26" ht="20.05" customHeight="1">
      <c r="B26" s="34"/>
      <c r="C26" s="25">
        <v>6569</v>
      </c>
      <c r="D26" s="26"/>
      <c r="E26" s="26">
        <v>634</v>
      </c>
      <c r="F26" s="26">
        <v>-2625</v>
      </c>
      <c r="G26" s="26">
        <v>-423</v>
      </c>
      <c r="H26" s="26"/>
      <c r="I26" s="26"/>
      <c r="J26" s="26">
        <v>1410</v>
      </c>
      <c r="K26" s="26">
        <f>E26+F26+G26</f>
        <v>-2414</v>
      </c>
      <c r="L26" s="26">
        <f>AVERAGE(K23:K26)</f>
        <v>-871</v>
      </c>
      <c r="M26" s="26">
        <f>-(J26-G26)+M25</f>
        <v>1714</v>
      </c>
    </row>
    <row r="27" ht="20.05" customHeight="1">
      <c r="B27" s="34"/>
      <c r="C27" s="25">
        <v>7676</v>
      </c>
      <c r="D27" s="26"/>
      <c r="E27" s="26">
        <v>5412.4</v>
      </c>
      <c r="F27" s="26">
        <v>-2058</v>
      </c>
      <c r="G27" s="26">
        <v>-886</v>
      </c>
      <c r="H27" s="26"/>
      <c r="I27" s="26"/>
      <c r="J27" s="26">
        <v>1331.6</v>
      </c>
      <c r="K27" s="26">
        <f>E27+F27+G27</f>
        <v>2468.4</v>
      </c>
      <c r="L27" s="26">
        <f>AVERAGE(K24:K27)</f>
        <v>-102.65</v>
      </c>
      <c r="M27" s="26">
        <f>-(J27-G27)+M26</f>
        <v>-503.6</v>
      </c>
    </row>
    <row r="28" ht="20.05" customHeight="1">
      <c r="B28" s="35">
        <v>2020</v>
      </c>
      <c r="C28" s="25">
        <v>6627</v>
      </c>
      <c r="D28" s="26"/>
      <c r="E28" s="26">
        <v>2366</v>
      </c>
      <c r="F28" s="26">
        <v>-1548</v>
      </c>
      <c r="G28" s="26">
        <v>-510</v>
      </c>
      <c r="H28" s="26"/>
      <c r="I28" s="26"/>
      <c r="J28" s="26">
        <v>-1682</v>
      </c>
      <c r="K28" s="26">
        <f>E28+F28+G28</f>
        <v>308</v>
      </c>
      <c r="L28" s="26">
        <f>AVERAGE(K25:K28)</f>
        <v>108.6</v>
      </c>
      <c r="M28" s="26">
        <f>-(J28-G28)+M27</f>
        <v>668.4</v>
      </c>
    </row>
    <row r="29" ht="20.05" customHeight="1">
      <c r="B29" s="34"/>
      <c r="C29" s="25">
        <v>6871</v>
      </c>
      <c r="D29" s="26"/>
      <c r="E29" s="26">
        <v>2256</v>
      </c>
      <c r="F29" s="26">
        <v>-872</v>
      </c>
      <c r="G29" s="26">
        <v>-571</v>
      </c>
      <c r="H29" s="26"/>
      <c r="I29" s="26"/>
      <c r="J29" s="26">
        <v>-1875</v>
      </c>
      <c r="K29" s="26">
        <f>E29+F29+G29</f>
        <v>813</v>
      </c>
      <c r="L29" s="26">
        <f>AVERAGE(K26:K29)</f>
        <v>293.85</v>
      </c>
      <c r="M29" s="26">
        <f>-(J29-G29)+M28</f>
        <v>1972.4</v>
      </c>
    </row>
    <row r="30" ht="20.05" customHeight="1">
      <c r="B30" s="34"/>
      <c r="C30" s="25">
        <v>7376</v>
      </c>
      <c r="D30" s="26"/>
      <c r="E30" s="26">
        <f>8515.669-SUM(E28:E29)</f>
        <v>3893.669</v>
      </c>
      <c r="F30" s="26">
        <f>-4126.212-SUM(F28:F29)</f>
        <v>-1706.212</v>
      </c>
      <c r="G30" s="26">
        <v>-699</v>
      </c>
      <c r="H30" s="26"/>
      <c r="I30" s="26"/>
      <c r="J30" s="26">
        <f>-5966.04-SUM(J28:J29)</f>
        <v>-2409.04</v>
      </c>
      <c r="K30" s="26">
        <f>E30+F30+G30</f>
        <v>1488.457</v>
      </c>
      <c r="L30" s="26">
        <f>AVERAGE(K27:K30)</f>
        <v>1269.46425</v>
      </c>
      <c r="M30" s="26">
        <f>-(J30-G30)+M29</f>
        <v>3682.44</v>
      </c>
    </row>
    <row r="31" ht="20.05" customHeight="1">
      <c r="B31" s="34"/>
      <c r="C31" s="25">
        <v>8052</v>
      </c>
      <c r="D31" s="26"/>
      <c r="E31" s="26">
        <v>2532.331</v>
      </c>
      <c r="F31" s="26">
        <v>-2836.788</v>
      </c>
      <c r="G31" s="26">
        <v>-766</v>
      </c>
      <c r="H31" s="26"/>
      <c r="I31" s="26"/>
      <c r="J31" s="26">
        <v>-2210.96</v>
      </c>
      <c r="K31" s="26">
        <f>E31+F31+G31</f>
        <v>-1070.457</v>
      </c>
      <c r="L31" s="26">
        <f>AVERAGE(K28:K31)</f>
        <v>384.75</v>
      </c>
      <c r="M31" s="26">
        <f>-(J31-G31)+M30</f>
        <v>5127.4</v>
      </c>
    </row>
    <row r="32" ht="20.05" customHeight="1">
      <c r="B32" s="35">
        <v>2021</v>
      </c>
      <c r="C32" s="25">
        <v>6802.2</v>
      </c>
      <c r="D32" s="26">
        <v>-2387</v>
      </c>
      <c r="E32" s="26">
        <v>2668.3</v>
      </c>
      <c r="F32" s="26">
        <v>-2199.9</v>
      </c>
      <c r="G32" s="26">
        <v>-335.4</v>
      </c>
      <c r="H32" s="26">
        <v>-70</v>
      </c>
      <c r="I32" s="26"/>
      <c r="J32" s="26">
        <f>-405.4</f>
        <v>-405.4</v>
      </c>
      <c r="K32" s="26">
        <f>E32+D32+G32</f>
        <v>-54.1</v>
      </c>
      <c r="L32" s="26">
        <f>AVERAGE(K29:K32)</f>
        <v>294.225</v>
      </c>
      <c r="M32" s="26">
        <f>-(H32+I32)+M31</f>
        <v>5197.4</v>
      </c>
    </row>
    <row r="33" ht="20.05" customHeight="1">
      <c r="B33" s="34"/>
      <c r="C33" s="25">
        <v>7910.8</v>
      </c>
      <c r="D33" s="26">
        <v>-2387</v>
      </c>
      <c r="E33" s="26">
        <v>2349.7</v>
      </c>
      <c r="F33" s="26">
        <v>5501.9</v>
      </c>
      <c r="G33" s="26">
        <v>-944.6</v>
      </c>
      <c r="H33" s="26">
        <f>740-880-630-H32</f>
        <v>-700</v>
      </c>
      <c r="I33" s="26"/>
      <c r="J33" s="26">
        <f>768-J32</f>
        <v>1173.4</v>
      </c>
      <c r="K33" s="26">
        <f>E33+D33+G33</f>
        <v>-981.9</v>
      </c>
      <c r="L33" s="26">
        <f>AVERAGE(K30:K33)</f>
        <v>-154.5</v>
      </c>
      <c r="M33" s="26">
        <f>-(H33+I33)+M32</f>
        <v>5897.4</v>
      </c>
    </row>
    <row r="34" ht="20.05" customHeight="1">
      <c r="B34" s="34"/>
      <c r="C34" s="25">
        <f>23305.1-SUM(C32:C33)</f>
        <v>8592.1</v>
      </c>
      <c r="D34" s="26">
        <f>-8684.7-SUM(D32:D33)</f>
        <v>-3910.7</v>
      </c>
      <c r="E34" s="26">
        <f>8399.2-SUM(E32:E33)</f>
        <v>3381.2</v>
      </c>
      <c r="F34" s="26">
        <f>1385-SUM(F32:F33)</f>
        <v>-1917</v>
      </c>
      <c r="G34" s="26">
        <f>-1397.4-SUM(G32:G33)</f>
        <v>-117.4</v>
      </c>
      <c r="H34" s="26">
        <f>775-1374-1365-H33-H32</f>
        <v>-1194</v>
      </c>
      <c r="I34" s="26">
        <v>-19</v>
      </c>
      <c r="J34" s="26">
        <f>-563.1-SUM(J32:J33)</f>
        <v>-1331.1</v>
      </c>
      <c r="K34" s="26">
        <f>E34+D34+G34</f>
        <v>-646.9</v>
      </c>
      <c r="L34" s="26">
        <f>AVERAGE(K31:K34)</f>
        <v>-688.33925</v>
      </c>
      <c r="M34" s="26">
        <f>-(H34+I34)+M33</f>
        <v>7110.4</v>
      </c>
    </row>
    <row r="35" ht="20.05" customHeight="1">
      <c r="B35" s="34"/>
      <c r="C35" s="25">
        <f>31942.5-SUM(C32:C34)</f>
        <v>8637.4</v>
      </c>
      <c r="D35" s="26">
        <f>-12128.4-SUM(D32:D34)</f>
        <v>-3443.7</v>
      </c>
      <c r="E35" s="26">
        <f>10971.9-SUM(E32:E34)</f>
        <v>2572.7</v>
      </c>
      <c r="F35" s="26">
        <f>-1209.2-SUM(F32:F34)</f>
        <v>-2594.2</v>
      </c>
      <c r="G35" s="26">
        <f>-1920-SUM(G32:G34)</f>
        <v>-522.6</v>
      </c>
      <c r="H35" s="26">
        <f>3675+400-1734-1465-H34-H33-H32</f>
        <v>2840</v>
      </c>
      <c r="I35" s="26">
        <f>-9499-39-I34</f>
        <v>-9519</v>
      </c>
      <c r="J35" s="26">
        <f>-7764.6-SUM(J32:J34)</f>
        <v>-7201.5</v>
      </c>
      <c r="K35" s="26">
        <f>E35+D35+G35</f>
        <v>-1393.6</v>
      </c>
      <c r="L35" s="26">
        <f>AVERAGE(K32:K35)</f>
        <v>-769.125</v>
      </c>
      <c r="M35" s="26">
        <f>-(H35+I35)+M34</f>
        <v>13789.4</v>
      </c>
    </row>
    <row r="36" ht="20.05" customHeight="1">
      <c r="B36" s="35">
        <v>2022</v>
      </c>
      <c r="C36" s="25"/>
      <c r="D36" s="26"/>
      <c r="E36" s="26"/>
      <c r="F36" s="26"/>
      <c r="G36" s="26"/>
      <c r="H36" s="26"/>
      <c r="I36" s="26"/>
      <c r="J36" s="26"/>
      <c r="K36" s="26"/>
      <c r="L36" s="26">
        <f>SUM('Model'!F9:F11)</f>
        <v>966.359400591090</v>
      </c>
      <c r="M36" s="26">
        <f>'Model'!F33</f>
        <v>15581.8872216186</v>
      </c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33594" style="39" customWidth="1"/>
    <col min="2" max="4" width="9.5625" style="39" customWidth="1"/>
    <col min="5" max="10" width="11.4609" style="39" customWidth="1"/>
    <col min="11" max="16384" width="16.3516" style="39" customWidth="1"/>
  </cols>
  <sheetData>
    <row r="1" ht="27.65" customHeight="1">
      <c r="A1" t="s" s="2">
        <v>54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1</v>
      </c>
      <c r="B2" t="s" s="5">
        <v>55</v>
      </c>
      <c r="C2" t="s" s="5">
        <v>56</v>
      </c>
      <c r="D2" t="s" s="5">
        <v>57</v>
      </c>
      <c r="E2" t="s" s="5">
        <v>24</v>
      </c>
      <c r="F2" t="s" s="5">
        <v>12</v>
      </c>
      <c r="G2" t="s" s="5">
        <v>13</v>
      </c>
      <c r="H2" t="s" s="5">
        <v>58</v>
      </c>
      <c r="I2" t="s" s="5">
        <v>59</v>
      </c>
      <c r="J2" t="s" s="5">
        <v>34</v>
      </c>
    </row>
    <row r="3" ht="21.1" customHeight="1">
      <c r="A3" s="29">
        <v>2015</v>
      </c>
      <c r="B3" s="38">
        <v>3474</v>
      </c>
      <c r="C3" s="32">
        <v>52839</v>
      </c>
      <c r="D3" s="32">
        <f>C3-B3</f>
        <v>49365</v>
      </c>
      <c r="E3" s="32">
        <v>64415</v>
      </c>
      <c r="F3" s="32">
        <v>38966</v>
      </c>
      <c r="G3" s="32">
        <v>13873</v>
      </c>
      <c r="H3" s="32">
        <f>F3+G3-B3-D3</f>
        <v>0</v>
      </c>
      <c r="I3" s="32">
        <f>B3-F3</f>
        <v>-35492</v>
      </c>
      <c r="J3" s="32"/>
    </row>
    <row r="4" ht="21.1" customHeight="1">
      <c r="A4" s="34"/>
      <c r="B4" s="25">
        <v>9421</v>
      </c>
      <c r="C4" s="26">
        <v>58697</v>
      </c>
      <c r="D4" s="26">
        <f>C4-B4</f>
        <v>49276</v>
      </c>
      <c r="E4" s="26">
        <v>66333</v>
      </c>
      <c r="F4" s="26">
        <v>45103</v>
      </c>
      <c r="G4" s="26">
        <v>13594</v>
      </c>
      <c r="H4" s="26">
        <f>F4+G4-B4-D4</f>
        <v>0</v>
      </c>
      <c r="I4" s="26">
        <f>B4-F4</f>
        <v>-35682</v>
      </c>
      <c r="J4" s="26"/>
    </row>
    <row r="5" ht="21.1" customHeight="1">
      <c r="A5" s="34"/>
      <c r="B5" s="25">
        <v>3729</v>
      </c>
      <c r="C5" s="26">
        <v>52611</v>
      </c>
      <c r="D5" s="26">
        <f>C5-B5</f>
        <v>48882</v>
      </c>
      <c r="E5" s="26">
        <v>68230</v>
      </c>
      <c r="F5" s="26">
        <v>39370</v>
      </c>
      <c r="G5" s="26">
        <v>13241</v>
      </c>
      <c r="H5" s="26">
        <f>F5+G5-B5-D5</f>
        <v>0</v>
      </c>
      <c r="I5" s="26">
        <f>B5-F5</f>
        <v>-35641</v>
      </c>
      <c r="J5" s="26"/>
    </row>
    <row r="6" ht="21.1" customHeight="1">
      <c r="A6" s="34"/>
      <c r="B6" s="25">
        <v>1850</v>
      </c>
      <c r="C6" s="26">
        <v>50838</v>
      </c>
      <c r="D6" s="26">
        <f>C6-B6</f>
        <v>48988</v>
      </c>
      <c r="E6" s="26">
        <v>70719</v>
      </c>
      <c r="F6" s="26">
        <v>36661</v>
      </c>
      <c r="G6" s="26">
        <v>14177</v>
      </c>
      <c r="H6" s="26">
        <f>F6+G6-B6-D6</f>
        <v>0</v>
      </c>
      <c r="I6" s="26">
        <f>B6-F6</f>
        <v>-34811</v>
      </c>
      <c r="J6" s="26"/>
    </row>
    <row r="7" ht="21.1" customHeight="1">
      <c r="A7" s="35">
        <v>2016</v>
      </c>
      <c r="B7" s="25">
        <v>2581</v>
      </c>
      <c r="C7" s="26">
        <v>51960</v>
      </c>
      <c r="D7" s="26">
        <f>C7-B7</f>
        <v>49379</v>
      </c>
      <c r="E7" s="26">
        <v>72618</v>
      </c>
      <c r="F7" s="26">
        <v>38471</v>
      </c>
      <c r="G7" s="26">
        <v>13489</v>
      </c>
      <c r="H7" s="26">
        <f>F7+G7-B7-D7</f>
        <v>0</v>
      </c>
      <c r="I7" s="26">
        <f>B7-F7</f>
        <v>-35890</v>
      </c>
      <c r="J7" s="26"/>
    </row>
    <row r="8" ht="20.9" customHeight="1">
      <c r="A8" s="34"/>
      <c r="B8" s="25">
        <v>2252</v>
      </c>
      <c r="C8" s="26">
        <v>50039</v>
      </c>
      <c r="D8" s="26">
        <f>C8-B8</f>
        <v>47787</v>
      </c>
      <c r="E8" s="26">
        <v>74210</v>
      </c>
      <c r="F8" s="26">
        <v>36362</v>
      </c>
      <c r="G8" s="26">
        <v>13677</v>
      </c>
      <c r="H8" s="26">
        <f>F8+G8-B8-D8</f>
        <v>0</v>
      </c>
      <c r="I8" s="26">
        <f>B8-F8</f>
        <v>-34110</v>
      </c>
      <c r="J8" s="26"/>
    </row>
    <row r="9" ht="20.9" customHeight="1">
      <c r="A9" s="34"/>
      <c r="B9" s="25">
        <v>2355</v>
      </c>
      <c r="C9" s="26">
        <v>48690</v>
      </c>
      <c r="D9" s="26">
        <f>C9-B9</f>
        <v>46335</v>
      </c>
      <c r="E9" s="26">
        <v>76359</v>
      </c>
      <c r="F9" s="26">
        <v>34544</v>
      </c>
      <c r="G9" s="26">
        <v>14146</v>
      </c>
      <c r="H9" s="26">
        <f>F9+G9-B9-D9</f>
        <v>0</v>
      </c>
      <c r="I9" s="26">
        <f>B9-F9</f>
        <v>-32189</v>
      </c>
      <c r="J9" s="26"/>
    </row>
    <row r="10" ht="20.9" customHeight="1">
      <c r="A10" s="34"/>
      <c r="B10" s="25">
        <v>1850</v>
      </c>
      <c r="C10" s="26">
        <v>50838</v>
      </c>
      <c r="D10" s="26">
        <f>C10-B10</f>
        <v>48988</v>
      </c>
      <c r="E10" s="26">
        <v>78584</v>
      </c>
      <c r="F10" s="26">
        <v>36662</v>
      </c>
      <c r="G10" s="26">
        <v>14176</v>
      </c>
      <c r="H10" s="26">
        <f>F10+G10-B10-D10</f>
        <v>0</v>
      </c>
      <c r="I10" s="26">
        <f>B10-F10</f>
        <v>-34812</v>
      </c>
      <c r="J10" s="26"/>
    </row>
    <row r="11" ht="20.9" customHeight="1">
      <c r="A11" s="35">
        <v>2017</v>
      </c>
      <c r="B11" s="25">
        <v>1958</v>
      </c>
      <c r="C11" s="26">
        <v>49588</v>
      </c>
      <c r="D11" s="26">
        <f>C11-B11</f>
        <v>47630</v>
      </c>
      <c r="E11" s="26">
        <v>79590</v>
      </c>
      <c r="F11" s="26">
        <v>35211</v>
      </c>
      <c r="G11" s="26">
        <v>14377</v>
      </c>
      <c r="H11" s="26">
        <f>F11+G11-B11-D11</f>
        <v>0</v>
      </c>
      <c r="I11" s="26">
        <f>B11-F11</f>
        <v>-33253</v>
      </c>
      <c r="J11" s="26"/>
    </row>
    <row r="12" ht="20.9" customHeight="1">
      <c r="A12" s="34"/>
      <c r="B12" s="25">
        <v>2405</v>
      </c>
      <c r="C12" s="26">
        <v>49396</v>
      </c>
      <c r="D12" s="26">
        <f>C12-B12</f>
        <v>46991</v>
      </c>
      <c r="E12" s="26">
        <v>80721</v>
      </c>
      <c r="F12" s="26">
        <v>34919</v>
      </c>
      <c r="G12" s="26">
        <v>14477</v>
      </c>
      <c r="H12" s="26">
        <f>F12+G12-B12-D12</f>
        <v>0</v>
      </c>
      <c r="I12" s="26">
        <f>B12-F12</f>
        <v>-32514</v>
      </c>
      <c r="J12" s="26"/>
    </row>
    <row r="13" ht="20.9" customHeight="1">
      <c r="A13" s="34"/>
      <c r="B13" s="25">
        <v>1654</v>
      </c>
      <c r="C13" s="26">
        <v>47381</v>
      </c>
      <c r="D13" s="26">
        <f>C13-B13</f>
        <v>45727</v>
      </c>
      <c r="E13" s="26">
        <v>82860</v>
      </c>
      <c r="F13" s="26">
        <v>32546</v>
      </c>
      <c r="G13" s="26">
        <v>14835</v>
      </c>
      <c r="H13" s="26">
        <f>F13+G13-B13-D13</f>
        <v>0</v>
      </c>
      <c r="I13" s="26">
        <f>B13-F13</f>
        <v>-30892</v>
      </c>
      <c r="J13" s="26"/>
    </row>
    <row r="14" ht="20.9" customHeight="1">
      <c r="A14" s="34"/>
      <c r="B14" s="25">
        <v>1675</v>
      </c>
      <c r="C14" s="26">
        <v>50661</v>
      </c>
      <c r="D14" s="26">
        <f>C14-B14</f>
        <v>48986</v>
      </c>
      <c r="E14" s="26">
        <v>74133</v>
      </c>
      <c r="F14" s="26">
        <v>35845</v>
      </c>
      <c r="G14" s="26">
        <v>14816</v>
      </c>
      <c r="H14" s="26">
        <f>F14+G14-B14-D14</f>
        <v>0</v>
      </c>
      <c r="I14" s="26">
        <f>B14-F14</f>
        <v>-34170</v>
      </c>
      <c r="J14" s="26"/>
    </row>
    <row r="15" ht="20.9" customHeight="1">
      <c r="A15" s="35">
        <v>2018</v>
      </c>
      <c r="B15" s="25">
        <v>1451</v>
      </c>
      <c r="C15" s="26">
        <v>50024</v>
      </c>
      <c r="D15" s="26">
        <f>C15-B15</f>
        <v>48573</v>
      </c>
      <c r="E15" s="26">
        <v>76159</v>
      </c>
      <c r="F15" s="26">
        <v>35314</v>
      </c>
      <c r="G15" s="26">
        <v>14710</v>
      </c>
      <c r="H15" s="26">
        <f>F15+G15-B15-D15</f>
        <v>0</v>
      </c>
      <c r="I15" s="26">
        <f>B15-F15</f>
        <v>-33863</v>
      </c>
      <c r="J15" s="26"/>
    </row>
    <row r="16" ht="20.9" customHeight="1">
      <c r="A16" s="34"/>
      <c r="B16" s="25">
        <v>1318</v>
      </c>
      <c r="C16" s="26">
        <v>49857</v>
      </c>
      <c r="D16" s="26">
        <f>C16-B16</f>
        <v>48539</v>
      </c>
      <c r="E16" s="26">
        <v>78086</v>
      </c>
      <c r="F16" s="26">
        <v>36261</v>
      </c>
      <c r="G16" s="26">
        <v>13596</v>
      </c>
      <c r="H16" s="26">
        <f>F16+G16-B16-D16</f>
        <v>0</v>
      </c>
      <c r="I16" s="26">
        <f>B16-F16</f>
        <v>-34943</v>
      </c>
      <c r="J16" s="26"/>
    </row>
    <row r="17" ht="20.9" customHeight="1">
      <c r="A17" s="34"/>
      <c r="B17" s="25">
        <v>1128</v>
      </c>
      <c r="C17" s="26">
        <v>51628</v>
      </c>
      <c r="D17" s="26">
        <f>C17-B17</f>
        <v>50500</v>
      </c>
      <c r="E17" s="26">
        <v>79926</v>
      </c>
      <c r="F17" s="26">
        <v>38637</v>
      </c>
      <c r="G17" s="26">
        <v>12990</v>
      </c>
      <c r="H17" s="26">
        <f>F17+G17-B17-D17</f>
        <v>-1</v>
      </c>
      <c r="I17" s="26">
        <f>B17-F17</f>
        <v>-37509</v>
      </c>
      <c r="J17" s="26"/>
    </row>
    <row r="18" ht="20.9" customHeight="1">
      <c r="A18" s="34"/>
      <c r="B18" s="25">
        <v>1045</v>
      </c>
      <c r="C18" s="26">
        <v>53140</v>
      </c>
      <c r="D18" s="26">
        <f>C18-B18</f>
        <v>52095</v>
      </c>
      <c r="E18" s="26">
        <f>81664+2613</f>
        <v>84277</v>
      </c>
      <c r="F18" s="26">
        <v>41004</v>
      </c>
      <c r="G18" s="26">
        <v>12136</v>
      </c>
      <c r="H18" s="26">
        <f>F18+G18-B18-D18</f>
        <v>0</v>
      </c>
      <c r="I18" s="26">
        <f>B18-F18</f>
        <v>-39959</v>
      </c>
      <c r="J18" s="26"/>
    </row>
    <row r="19" ht="20.9" customHeight="1">
      <c r="A19" s="35">
        <v>2019</v>
      </c>
      <c r="B19" s="25">
        <v>2227</v>
      </c>
      <c r="C19" s="26">
        <v>55629</v>
      </c>
      <c r="D19" s="26">
        <f>C19-B19</f>
        <v>53402</v>
      </c>
      <c r="E19" s="26">
        <f>83960+2632</f>
        <v>86592</v>
      </c>
      <c r="F19" s="26">
        <v>43769</v>
      </c>
      <c r="G19" s="26">
        <v>11860</v>
      </c>
      <c r="H19" s="26">
        <f>F19+G19-B19-D19</f>
        <v>0</v>
      </c>
      <c r="I19" s="26">
        <f>B19-F19</f>
        <v>-41542</v>
      </c>
      <c r="J19" s="26"/>
    </row>
    <row r="20" ht="20.9" customHeight="1">
      <c r="A20" s="34"/>
      <c r="B20" s="25">
        <v>1783</v>
      </c>
      <c r="C20" s="26">
        <v>55862</v>
      </c>
      <c r="D20" s="26">
        <f>C20-B20</f>
        <v>54079</v>
      </c>
      <c r="E20" s="26">
        <f>86240+2652</f>
        <v>88892</v>
      </c>
      <c r="F20" s="26">
        <v>44087</v>
      </c>
      <c r="G20" s="26">
        <v>11775</v>
      </c>
      <c r="H20" s="26">
        <f>F20+G20-B20-D20</f>
        <v>0</v>
      </c>
      <c r="I20" s="26">
        <f>B20-F20</f>
        <v>-42304</v>
      </c>
      <c r="J20" s="26"/>
    </row>
    <row r="21" ht="20.9" customHeight="1">
      <c r="A21" s="34"/>
      <c r="B21" s="25">
        <v>1207</v>
      </c>
      <c r="C21" s="26">
        <v>58372</v>
      </c>
      <c r="D21" s="26">
        <f>C21-B21</f>
        <v>57165</v>
      </c>
      <c r="E21" s="26">
        <f>87425+2671</f>
        <v>90096</v>
      </c>
      <c r="F21" s="26">
        <v>46528</v>
      </c>
      <c r="G21" s="26">
        <v>11844</v>
      </c>
      <c r="H21" s="26">
        <f>F21+G21-B21-D21</f>
        <v>0</v>
      </c>
      <c r="I21" s="26">
        <f>B21-F21</f>
        <v>-45321</v>
      </c>
      <c r="J21" s="26"/>
    </row>
    <row r="22" ht="20.9" customHeight="1">
      <c r="A22" s="34"/>
      <c r="B22" s="25">
        <v>5881</v>
      </c>
      <c r="C22" s="26">
        <v>62813</v>
      </c>
      <c r="D22" s="26">
        <f>C22-B22</f>
        <v>56932</v>
      </c>
      <c r="E22" s="26">
        <f>88370+2694</f>
        <v>91064</v>
      </c>
      <c r="F22" s="26">
        <v>49106</v>
      </c>
      <c r="G22" s="26">
        <v>13707</v>
      </c>
      <c r="H22" s="26">
        <f>F22+G22-B22-D22</f>
        <v>0</v>
      </c>
      <c r="I22" s="26">
        <f>B22-F22</f>
        <v>-43225</v>
      </c>
      <c r="J22" s="26"/>
    </row>
    <row r="23" ht="20.9" customHeight="1">
      <c r="A23" s="35">
        <v>2020</v>
      </c>
      <c r="B23" s="25">
        <v>5161</v>
      </c>
      <c r="C23" s="26">
        <v>60878</v>
      </c>
      <c r="D23" s="26">
        <f>C23-B23</f>
        <v>55717</v>
      </c>
      <c r="E23" s="26">
        <v>90797</v>
      </c>
      <c r="F23" s="26">
        <v>47735</v>
      </c>
      <c r="G23" s="26">
        <v>13143</v>
      </c>
      <c r="H23" s="26">
        <f>F23+G23-B23-D23</f>
        <v>0</v>
      </c>
      <c r="I23" s="26">
        <f>B23-F23</f>
        <v>-42574</v>
      </c>
      <c r="J23" s="26"/>
    </row>
    <row r="24" ht="20.9" customHeight="1">
      <c r="A24" s="34"/>
      <c r="B24" s="25">
        <v>4538</v>
      </c>
      <c r="C24" s="26">
        <v>61080</v>
      </c>
      <c r="D24" s="26">
        <f>C24-B24</f>
        <v>56542</v>
      </c>
      <c r="E24" s="26">
        <v>93255</v>
      </c>
      <c r="F24" s="26">
        <v>47693</v>
      </c>
      <c r="G24" s="26">
        <v>13386</v>
      </c>
      <c r="H24" s="26">
        <f>F24+G24-B24-D24</f>
        <v>-1</v>
      </c>
      <c r="I24" s="26">
        <f>B24-F24</f>
        <v>-43155</v>
      </c>
      <c r="J24" s="26"/>
    </row>
    <row r="25" ht="20.9" customHeight="1">
      <c r="A25" s="34"/>
      <c r="B25" s="25">
        <v>4347</v>
      </c>
      <c r="C25" s="26">
        <v>61843</v>
      </c>
      <c r="D25" s="26">
        <f>C25-B25</f>
        <v>57496</v>
      </c>
      <c r="E25" s="26">
        <f>95119</f>
        <v>95119</v>
      </c>
      <c r="F25" s="26">
        <v>48555</v>
      </c>
      <c r="G25" s="26">
        <v>13288</v>
      </c>
      <c r="H25" s="26">
        <f>F25+G25-B25-D25</f>
        <v>0</v>
      </c>
      <c r="I25" s="26">
        <f>B25-F25</f>
        <v>-44208</v>
      </c>
      <c r="J25" s="26"/>
    </row>
    <row r="26" ht="20.9" customHeight="1">
      <c r="A26" s="34"/>
      <c r="B26" s="25">
        <f>1782+5</f>
        <v>1787</v>
      </c>
      <c r="C26" s="26">
        <v>62779</v>
      </c>
      <c r="D26" s="26">
        <f>C26-B26</f>
        <v>60992</v>
      </c>
      <c r="E26" s="26">
        <f>E25+'Sales'!E27</f>
        <v>97725</v>
      </c>
      <c r="F26" s="26">
        <v>49865</v>
      </c>
      <c r="G26" s="26">
        <v>12913</v>
      </c>
      <c r="H26" s="26">
        <f>F26+G26-B26-D26</f>
        <v>-1</v>
      </c>
      <c r="I26" s="26">
        <f>B26-F26</f>
        <v>-48078</v>
      </c>
      <c r="J26" s="21"/>
    </row>
    <row r="27" ht="20.9" customHeight="1">
      <c r="A27" s="35">
        <v>2021</v>
      </c>
      <c r="B27" s="25">
        <v>1882</v>
      </c>
      <c r="C27" s="26">
        <v>62891</v>
      </c>
      <c r="D27" s="26">
        <f>C27-B27</f>
        <v>61009</v>
      </c>
      <c r="E27" s="26">
        <v>98541</v>
      </c>
      <c r="F27" s="26">
        <v>49745</v>
      </c>
      <c r="G27" s="26">
        <v>13146</v>
      </c>
      <c r="H27" s="26">
        <f>F27+G27-B27-D27</f>
        <v>0</v>
      </c>
      <c r="I27" s="26">
        <f>B27-F27</f>
        <v>-47863</v>
      </c>
      <c r="J27" s="26"/>
    </row>
    <row r="28" ht="20.9" customHeight="1">
      <c r="A28" s="34"/>
      <c r="B28" s="25">
        <v>10900</v>
      </c>
      <c r="C28" s="26">
        <v>70386</v>
      </c>
      <c r="D28" s="26">
        <f>C28-B28</f>
        <v>59486</v>
      </c>
      <c r="E28" s="26">
        <f>E27+'Sales'!E29</f>
        <v>101690.5</v>
      </c>
      <c r="F28" s="26">
        <v>51833</v>
      </c>
      <c r="G28" s="26">
        <v>18552</v>
      </c>
      <c r="H28" s="26">
        <f>F28+G28-B28-D28</f>
        <v>-1</v>
      </c>
      <c r="I28" s="26">
        <f>B28-F28</f>
        <v>-40933</v>
      </c>
      <c r="J28" s="26"/>
    </row>
    <row r="29" ht="20.9" customHeight="1">
      <c r="A29" s="34"/>
      <c r="B29" s="25">
        <v>11016</v>
      </c>
      <c r="C29" s="26">
        <v>69846</v>
      </c>
      <c r="D29" s="26">
        <f>C29-B29</f>
        <v>58830</v>
      </c>
      <c r="E29" s="26">
        <f>103509+2948</f>
        <v>106457</v>
      </c>
      <c r="F29" s="26">
        <v>51029</v>
      </c>
      <c r="G29" s="26">
        <v>18817</v>
      </c>
      <c r="H29" s="26">
        <f>F29+G29-B29-D29</f>
        <v>0</v>
      </c>
      <c r="I29" s="26">
        <f>B29-F29</f>
        <v>-40013</v>
      </c>
      <c r="J29" s="26"/>
    </row>
    <row r="30" ht="20.9" customHeight="1">
      <c r="A30" s="34"/>
      <c r="B30" s="25">
        <f>3789+298</f>
        <v>4087</v>
      </c>
      <c r="C30" s="26">
        <v>63397</v>
      </c>
      <c r="D30" s="26">
        <f>C30-B30</f>
        <v>59310</v>
      </c>
      <c r="E30" s="26">
        <f>2980+104500</f>
        <v>107480</v>
      </c>
      <c r="F30" s="26">
        <v>53094</v>
      </c>
      <c r="G30" s="26">
        <v>10303</v>
      </c>
      <c r="H30" s="26">
        <f>F30+G30-B30-D30</f>
        <v>0</v>
      </c>
      <c r="I30" s="26">
        <f>B30-F30</f>
        <v>-49007</v>
      </c>
      <c r="J30" s="26">
        <f>I30</f>
        <v>-49007</v>
      </c>
    </row>
    <row r="31" ht="20.9" customHeight="1">
      <c r="A31" s="35">
        <v>2022</v>
      </c>
      <c r="B31" s="25"/>
      <c r="C31" s="26"/>
      <c r="D31" s="26">
        <f>C31-B31</f>
        <v>0</v>
      </c>
      <c r="E31" s="26"/>
      <c r="F31" s="26"/>
      <c r="G31" s="26"/>
      <c r="H31" s="26"/>
      <c r="I31" s="26"/>
      <c r="J31" s="26">
        <f>'Model'!F31</f>
        <v>-45605.7789448669</v>
      </c>
    </row>
  </sheetData>
  <mergeCells count="1">
    <mergeCell ref="A1:J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5625" style="40" customWidth="1"/>
    <col min="2" max="2" width="5.26562" style="40" customWidth="1"/>
    <col min="3" max="5" width="9.32031" style="40" customWidth="1"/>
    <col min="6" max="16384" width="16.3516" style="40" customWidth="1"/>
  </cols>
  <sheetData>
    <row r="1" ht="49.2" customHeight="1"/>
    <row r="2" ht="27.65" customHeight="1">
      <c r="B2" t="s" s="2">
        <v>60</v>
      </c>
      <c r="C2" s="2"/>
      <c r="D2" s="2"/>
      <c r="E2" s="2"/>
    </row>
    <row r="3" ht="20.25" customHeight="1">
      <c r="B3" s="4"/>
      <c r="C3" t="s" s="41">
        <v>61</v>
      </c>
      <c r="D3" t="s" s="41">
        <v>62</v>
      </c>
      <c r="E3" t="s" s="41">
        <v>63</v>
      </c>
    </row>
    <row r="4" ht="20.25" customHeight="1">
      <c r="B4" s="29">
        <v>2018</v>
      </c>
      <c r="C4" s="38">
        <v>4750</v>
      </c>
      <c r="D4" s="8"/>
      <c r="E4" s="8"/>
    </row>
    <row r="5" ht="20.05" customHeight="1">
      <c r="B5" s="34"/>
      <c r="C5" s="25">
        <v>3180</v>
      </c>
      <c r="D5" s="22"/>
      <c r="E5" s="22"/>
    </row>
    <row r="6" ht="20.05" customHeight="1">
      <c r="B6" s="34"/>
      <c r="C6" s="25">
        <v>3050</v>
      </c>
      <c r="D6" s="22"/>
      <c r="E6" s="22"/>
    </row>
    <row r="7" ht="20.05" customHeight="1">
      <c r="B7" s="34"/>
      <c r="C7" s="25">
        <v>1685</v>
      </c>
      <c r="D7" s="22"/>
      <c r="E7" s="22"/>
    </row>
    <row r="8" ht="20.05" customHeight="1">
      <c r="B8" s="35">
        <v>2019</v>
      </c>
      <c r="C8" s="25">
        <v>2500</v>
      </c>
      <c r="D8" s="22"/>
      <c r="E8" s="22"/>
    </row>
    <row r="9" ht="20.05" customHeight="1">
      <c r="B9" s="34"/>
      <c r="C9" s="25">
        <v>2630</v>
      </c>
      <c r="D9" s="26"/>
      <c r="E9" s="26"/>
    </row>
    <row r="10" ht="20.05" customHeight="1">
      <c r="B10" s="34"/>
      <c r="C10" s="25">
        <v>2850</v>
      </c>
      <c r="D10" s="26"/>
      <c r="E10" s="26"/>
    </row>
    <row r="11" ht="20.05" customHeight="1">
      <c r="B11" s="34"/>
      <c r="C11" s="25">
        <v>2910</v>
      </c>
      <c r="D11" s="22"/>
      <c r="E11" s="22"/>
    </row>
    <row r="12" ht="20.05" customHeight="1">
      <c r="B12" s="35">
        <v>2020</v>
      </c>
      <c r="C12" s="25">
        <v>1555</v>
      </c>
      <c r="D12" s="22"/>
      <c r="E12" s="22"/>
    </row>
    <row r="13" ht="20.05" customHeight="1">
      <c r="B13" s="34"/>
      <c r="C13" s="25">
        <v>2350</v>
      </c>
      <c r="D13" s="22"/>
      <c r="E13" s="22"/>
    </row>
    <row r="14" ht="20.05" customHeight="1">
      <c r="B14" s="34"/>
      <c r="C14" s="25">
        <v>1990</v>
      </c>
      <c r="D14" s="22"/>
      <c r="E14" s="22"/>
    </row>
    <row r="15" ht="20.05" customHeight="1">
      <c r="B15" s="34"/>
      <c r="C15" s="25">
        <v>5050</v>
      </c>
      <c r="D15" s="22"/>
      <c r="E15" s="22"/>
    </row>
    <row r="16" ht="20.05" customHeight="1">
      <c r="B16" s="35">
        <v>2021</v>
      </c>
      <c r="C16" s="25">
        <v>6275</v>
      </c>
      <c r="D16" s="22"/>
      <c r="E16" s="22"/>
    </row>
    <row r="17" ht="20.05" customHeight="1">
      <c r="B17" s="34"/>
      <c r="C17" s="25">
        <v>6850</v>
      </c>
      <c r="D17" s="22"/>
      <c r="E17" s="22"/>
    </row>
    <row r="18" ht="20.05" customHeight="1">
      <c r="B18" s="34"/>
      <c r="C18" s="25">
        <v>6650</v>
      </c>
      <c r="D18" s="22"/>
      <c r="E18" s="22"/>
    </row>
    <row r="19" ht="20.05" customHeight="1">
      <c r="B19" s="34"/>
      <c r="C19" s="25">
        <v>7100</v>
      </c>
      <c r="D19" s="22"/>
      <c r="E19" s="22"/>
    </row>
    <row r="20" ht="20.05" customHeight="1">
      <c r="B20" s="35">
        <v>2022</v>
      </c>
      <c r="C20" s="25">
        <v>5700</v>
      </c>
      <c r="D20" s="26">
        <f>C20</f>
        <v>5700</v>
      </c>
      <c r="E20" s="22"/>
    </row>
    <row r="21" ht="20.05" customHeight="1">
      <c r="B21" s="34"/>
      <c r="C21" s="25"/>
      <c r="D21" s="26">
        <f>'Model'!F43</f>
        <v>7621.051855189940</v>
      </c>
      <c r="E21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