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<sst xmlns="http://schemas.openxmlformats.org/spreadsheetml/2006/main" uniqueCount="63">
  <si>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</si>
  <si>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</si>
  <si>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</si>
  <si>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</si>
  <si>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</si>
  <si>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</si>
  <si>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</si>
  <si>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</si>
  <si>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 xml:space="preserve">Operating </t>
  </si>
  <si>
    <t xml:space="preserve">Investment </t>
  </si>
  <si>
    <t xml:space="preserve">Finance 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</si>
  <si>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</si>
  <si>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</si>
  <si>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</si>
  <si>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</si>
  <si>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</si>
  <si>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</si>
  <si>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</si>
  <si>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</si>
  <si>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</si>
  <si>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</si>
  <si>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</si>
  <si>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</si>
  <si>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</si>
  <si>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</si>
  <si>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</si>
  <si>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</si>
  <si>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</si>
  <si>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</si>
  <si>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</si>
  <si>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>Capital</t>
  </si>
  <si>
    <t xml:space="preserve">Current value </t>
  </si>
  <si>
    <t>P/assets</t>
  </si>
  <si>
    <t xml:space="preserve">Yield </t>
  </si>
  <si>
    <t xml:space="preserve">Cashflow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</si>
  <si>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</si>
  <si>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</si>
  <si>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</si>
  <si>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</si>
  <si>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</si>
  <si>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</si>
  <si>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</si>
  <si>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</si>
  <si>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v forecast </t>
  </si>
  <si>
    <t xml:space="preserve">Profit </t>
  </si>
  <si>
    <t xml:space="preserve">Sales growth </t>
  </si>
  <si>
    <t xml:space="preserve">Cost ratio </t>
  </si>
  <si>
    <t>Receipts</t>
  </si>
  <si>
    <t>Investment</t>
  </si>
  <si>
    <t xml:space="preserve">Interest </t>
  </si>
  <si>
    <t xml:space="preserve">Leases </t>
  </si>
  <si>
    <t>Finance</t>
  </si>
  <si>
    <t xml:space="preserve">Free Cashflow </t>
  </si>
  <si>
    <t>Cash</t>
  </si>
  <si>
    <t xml:space="preserve">Assets </t>
  </si>
  <si>
    <t>Check</t>
  </si>
  <si>
    <t>Share price</t>
  </si>
  <si>
    <t>IPTV</t>
  </si>
  <si>
    <t>Target</t>
  </si>
  <si>
    <t>Leases</t>
  </si>
  <si>
    <t xml:space="preserve">Others </t>
  </si>
  <si>
    <t>Total</t>
  </si>
  <si>
    <t xml:space="preserve">Total capital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</si>
</sst>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"/>
    <numFmt numFmtId="60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8" applyNumberFormat="0" applyFont="1" applyFill="1" applyBorder="1" applyAlignment="1" applyProtection="0">
      <alignment vertical="top" wrapText="1"/>
    </xf>
    <xf numFmtId="0" fontId="2" fillId="4" borderId="9" applyNumberFormat="1" applyFont="1" applyFill="1" applyBorder="1" applyAlignment="1" applyProtection="0">
      <alignment vertical="top" wrapText="1"/>
    </xf>
    <xf numFmtId="3" fontId="0" borderId="10" applyNumberFormat="1" applyFont="1" applyFill="0" applyBorder="1" applyAlignment="1" applyProtection="0">
      <alignment vertical="top" wrapText="1"/>
    </xf>
    <xf numFmtId="0" fontId="2" fillId="4" borderId="9" applyNumberFormat="0" applyFont="1" applyFill="1" applyBorder="1" applyAlignment="1" applyProtection="0">
      <alignment vertical="top" wrapText="1"/>
    </xf>
    <xf numFmtId="3" fontId="0" borderId="11" applyNumberFormat="1" applyFont="1" applyFill="0" applyBorder="1" applyAlignment="1" applyProtection="0">
      <alignment vertical="top" wrapText="1"/>
    </xf>
    <xf numFmtId="1" fontId="0" borderId="11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c6c6c6"/>
      <rgbColor rgb="ff868686"/>
      <rgbColor rgb="ffb8b8b8"/>
      <rgbColor rgb="ffffffff"/>
      <rgbColor rgb="fffe25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74469"/>
          <c:y val="0.0426778"/>
          <c:w val="0.775763"/>
          <c:h val="0.88639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'!$O$3</c:f>
              <c:strCache>
                <c:ptCount val="1"/>
                <c:pt idx="0">
                  <c:v>Cashflow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'!$B$15:$B$21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'Capital '!$O$15:$O$21</c:f>
              <c:numCache>
                <c:ptCount val="7"/>
                <c:pt idx="0">
                  <c:v>-502.000000</c:v>
                </c:pt>
                <c:pt idx="1">
                  <c:v>-1938.000000</c:v>
                </c:pt>
                <c:pt idx="2">
                  <c:v>-3035.000000</c:v>
                </c:pt>
                <c:pt idx="3">
                  <c:v>-3357.500000</c:v>
                </c:pt>
                <c:pt idx="4">
                  <c:v>-5013.700000</c:v>
                </c:pt>
                <c:pt idx="5">
                  <c:v>-5319.300000</c:v>
                </c:pt>
                <c:pt idx="6">
                  <c:v>-5229.100000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'!$P$3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'!$B$15:$B$21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'Capital '!$P$15:$P$21</c:f>
              <c:numCache>
                <c:ptCount val="7"/>
                <c:pt idx="0">
                  <c:v>894.000000</c:v>
                </c:pt>
                <c:pt idx="1">
                  <c:v>476.600000</c:v>
                </c:pt>
                <c:pt idx="2">
                  <c:v>-63.400000</c:v>
                </c:pt>
                <c:pt idx="3">
                  <c:v>1530.600000</c:v>
                </c:pt>
                <c:pt idx="4">
                  <c:v>1724.600000</c:v>
                </c:pt>
                <c:pt idx="5">
                  <c:v>1928.600000</c:v>
                </c:pt>
                <c:pt idx="6">
                  <c:v>1992.300000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'!$Q$3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'!$B$15:$B$21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'Capital '!$Q$15:$Q$21</c:f>
              <c:numCache>
                <c:ptCount val="7"/>
                <c:pt idx="0">
                  <c:v>-1426.000000</c:v>
                </c:pt>
                <c:pt idx="1">
                  <c:v>-2429.000000</c:v>
                </c:pt>
                <c:pt idx="2">
                  <c:v>-2994.000000</c:v>
                </c:pt>
                <c:pt idx="3">
                  <c:v>-4919.000000</c:v>
                </c:pt>
                <c:pt idx="4">
                  <c:v>-6765.000000</c:v>
                </c:pt>
                <c:pt idx="5">
                  <c:v>-7221.500000</c:v>
                </c:pt>
                <c:pt idx="6">
                  <c:v>-7221.500000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'Capital '!$R$3</c:f>
              <c:strCache>
                <c:ptCount val="1"/>
                <c:pt idx="0">
                  <c:v>Total capital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FF26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FF2600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'!$B$15:$B$21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'Capital '!$R$15:$R$21</c:f>
              <c:numCache>
                <c:ptCount val="7"/>
                <c:pt idx="0">
                  <c:v>-532.000000</c:v>
                </c:pt>
                <c:pt idx="1">
                  <c:v>-1952.400000</c:v>
                </c:pt>
                <c:pt idx="2">
                  <c:v>-3057.400000</c:v>
                </c:pt>
                <c:pt idx="3">
                  <c:v>-3388.400000</c:v>
                </c:pt>
                <c:pt idx="4">
                  <c:v>-5040.400000</c:v>
                </c:pt>
                <c:pt idx="5">
                  <c:v>-5292.900000</c:v>
                </c:pt>
                <c:pt idx="6">
                  <c:v>-5229.200000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555.56"/>
        <c:minorUnit val="1777.78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460166"/>
          <c:y val="0.280072"/>
          <c:w val="0.490567"/>
          <c:h val="0.19571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378622</xdr:colOff>
      <xdr:row>2</xdr:row>
      <xdr:rowOff>14307</xdr:rowOff>
    </xdr:from>
    <xdr:to>
      <xdr:col>13</xdr:col>
      <xdr:colOff>305835</xdr:colOff>
      <xdr:row>47</xdr:row>
      <xdr:rowOff>239269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10922" y="870922"/>
          <a:ext cx="8639414" cy="1168861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142706</xdr:colOff>
      <xdr:row>29</xdr:row>
      <xdr:rowOff>82812</xdr:rowOff>
    </xdr:from>
    <xdr:to>
      <xdr:col>7</xdr:col>
      <xdr:colOff>1025106</xdr:colOff>
      <xdr:row>43</xdr:row>
      <xdr:rowOff>32215</xdr:rowOff>
    </xdr:to>
    <xdr:graphicFrame>
      <xdr:nvGraphicFramePr>
        <xdr:cNvPr id="4" name="2D Line Chart"/>
        <xdr:cNvGraphicFramePr/>
      </xdr:nvGraphicFramePr>
      <xdr:xfrm>
        <a:off x="4625806" y="7396107"/>
        <a:ext cx="2965201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9844" style="1" customWidth="1"/>
    <col min="2" max="2" width="15.6172" style="1" customWidth="1"/>
    <col min="3" max="6" width="9.125" style="1" customWidth="1"/>
    <col min="7" max="16384" width="16.3516" style="1" customWidth="1"/>
  </cols>
  <sheetData>
    <row r="1" ht="39.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AVERAGE('Sales'!G17:G20)</f>
        <v>-0.0856358649524166</v>
      </c>
      <c r="D4" s="8"/>
      <c r="E4" s="8"/>
      <c r="F4" s="9">
        <f>AVERAGE(C5:F5)</f>
        <v>0.06</v>
      </c>
    </row>
    <row r="5" ht="20.05" customHeight="1">
      <c r="B5" t="s" s="10">
        <v>4</v>
      </c>
      <c r="C5" s="11">
        <v>0.12</v>
      </c>
      <c r="D5" s="12">
        <v>0.07000000000000001</v>
      </c>
      <c r="E5" s="12">
        <v>0.05</v>
      </c>
      <c r="F5" s="12">
        <v>0</v>
      </c>
    </row>
    <row r="6" ht="20.05" customHeight="1">
      <c r="B6" t="s" s="10">
        <v>5</v>
      </c>
      <c r="C6" s="13">
        <f>'Sales'!C20*(1+C5)</f>
        <v>771.6799999999999</v>
      </c>
      <c r="D6" s="14">
        <f>C6*(1+D5)</f>
        <v>825.6976</v>
      </c>
      <c r="E6" s="14">
        <f>D6*(1+E5)</f>
        <v>866.98248</v>
      </c>
      <c r="F6" s="14">
        <f>E6*(1+F5)</f>
        <v>866.98248</v>
      </c>
    </row>
    <row r="7" ht="20.05" customHeight="1">
      <c r="B7" t="s" s="10">
        <v>6</v>
      </c>
      <c r="C7" s="11">
        <f>AVERAGE('Sales'!H8:H20)</f>
        <v>-0.669568077120861</v>
      </c>
      <c r="D7" s="12">
        <f>C7</f>
        <v>-0.669568077120861</v>
      </c>
      <c r="E7" s="12">
        <f>D7</f>
        <v>-0.669568077120861</v>
      </c>
      <c r="F7" s="12">
        <f>E7</f>
        <v>-0.669568077120861</v>
      </c>
    </row>
    <row r="8" ht="20.05" customHeight="1">
      <c r="B8" t="s" s="10">
        <v>7</v>
      </c>
      <c r="C8" s="15">
        <f>C6*C7</f>
        <v>-516.692293752626</v>
      </c>
      <c r="D8" s="16">
        <f>D6*D7</f>
        <v>-552.860754315310</v>
      </c>
      <c r="E8" s="16">
        <f>E6*E7</f>
        <v>-580.503792031075</v>
      </c>
      <c r="F8" s="16">
        <f>F6*F7</f>
        <v>-580.503792031075</v>
      </c>
    </row>
    <row r="9" ht="20.05" customHeight="1">
      <c r="B9" t="s" s="10">
        <v>8</v>
      </c>
      <c r="C9" s="15">
        <f>C6+C8</f>
        <v>254.987706247374</v>
      </c>
      <c r="D9" s="16">
        <f>D6+D8</f>
        <v>272.836845684690</v>
      </c>
      <c r="E9" s="16">
        <f>E6+E8</f>
        <v>286.478687968925</v>
      </c>
      <c r="F9" s="16">
        <f>F6+F8</f>
        <v>286.478687968925</v>
      </c>
    </row>
    <row r="10" ht="20.05" customHeight="1">
      <c r="B10" t="s" s="10">
        <v>9</v>
      </c>
      <c r="C10" s="15">
        <f>AVERAGE('Cashflow'!E20)</f>
        <v>-139.1</v>
      </c>
      <c r="D10" s="16">
        <f>C10</f>
        <v>-139.1</v>
      </c>
      <c r="E10" s="16">
        <f>D10</f>
        <v>-139.1</v>
      </c>
      <c r="F10" s="16">
        <f>E10</f>
        <v>-139.1</v>
      </c>
    </row>
    <row r="11" ht="20.05" customHeight="1">
      <c r="B11" t="s" s="10">
        <v>10</v>
      </c>
      <c r="C11" s="15">
        <f>C12+C15+C13</f>
        <v>-115.887706247374</v>
      </c>
      <c r="D11" s="16">
        <f>D12+D15+D13</f>
        <v>-133.736845684690</v>
      </c>
      <c r="E11" s="16">
        <f>E12+E15+E13</f>
        <v>-147.378687968925</v>
      </c>
      <c r="F11" s="16">
        <f>F12+F15+F13</f>
        <v>-147.378687968925</v>
      </c>
    </row>
    <row r="12" ht="20.05" customHeight="1">
      <c r="B12" t="s" s="10">
        <v>11</v>
      </c>
      <c r="C12" s="15">
        <f>-('Balance sheet'!G16)/20</f>
        <v>-168.95</v>
      </c>
      <c r="D12" s="16">
        <f>-C27/20</f>
        <v>-160.5025</v>
      </c>
      <c r="E12" s="16">
        <f>-D27/20</f>
        <v>-152.477375</v>
      </c>
      <c r="F12" s="16">
        <f>-E27/20</f>
        <v>-144.85350625</v>
      </c>
    </row>
    <row r="13" ht="20.05" customHeight="1">
      <c r="B13" t="s" s="10">
        <v>12</v>
      </c>
      <c r="C13" s="15">
        <f>-MIN(0,C16)</f>
        <v>53.062293752626</v>
      </c>
      <c r="D13" s="16">
        <f>-MIN(C28,D16)</f>
        <v>26.765654315310</v>
      </c>
      <c r="E13" s="16">
        <f>-MIN(D28,E16)</f>
        <v>5.098687031075</v>
      </c>
      <c r="F13" s="16">
        <f>-MIN(E28,F16)</f>
        <v>-2.525181718925</v>
      </c>
    </row>
    <row r="14" ht="20.05" customHeight="1">
      <c r="B14" t="s" s="10">
        <v>13</v>
      </c>
      <c r="C14" s="17">
        <v>0</v>
      </c>
      <c r="D14" s="16"/>
      <c r="E14" s="16"/>
      <c r="F14" s="16"/>
    </row>
    <row r="15" ht="20.05" customHeight="1">
      <c r="B15" t="s" s="10">
        <v>14</v>
      </c>
      <c r="C15" s="15">
        <f>IF(C22&gt;0,-C22*$C$14,0)</f>
        <v>0</v>
      </c>
      <c r="D15" s="16">
        <f>IF(D22&gt;0,-D22*$C$14,0)</f>
        <v>0</v>
      </c>
      <c r="E15" s="16">
        <f>IF(E22&gt;0,-E22*$C$14,0)</f>
        <v>0</v>
      </c>
      <c r="F15" s="16">
        <f>IF(F22&gt;0,-F22*$C$14,0)</f>
        <v>0</v>
      </c>
    </row>
    <row r="16" ht="20.05" customHeight="1">
      <c r="B16" t="s" s="10">
        <v>15</v>
      </c>
      <c r="C16" s="15">
        <f>C9+C10+C12+C15</f>
        <v>-53.062293752626</v>
      </c>
      <c r="D16" s="16">
        <f>D9+D10+D12+D15</f>
        <v>-26.765654315310</v>
      </c>
      <c r="E16" s="16">
        <f>E9+E10+E12+E15</f>
        <v>-5.098687031075</v>
      </c>
      <c r="F16" s="16">
        <f>F9+F10+F12+F15</f>
        <v>2.525181718925</v>
      </c>
    </row>
    <row r="17" ht="20.05" customHeight="1">
      <c r="B17" t="s" s="10">
        <v>16</v>
      </c>
      <c r="C17" s="15">
        <f>'Balance sheet'!C16</f>
        <v>55</v>
      </c>
      <c r="D17" s="16">
        <f>C19</f>
        <v>55</v>
      </c>
      <c r="E17" s="16">
        <f>D19</f>
        <v>55</v>
      </c>
      <c r="F17" s="16">
        <f>E19</f>
        <v>55</v>
      </c>
    </row>
    <row r="18" ht="20.05" customHeight="1">
      <c r="B18" t="s" s="10">
        <v>17</v>
      </c>
      <c r="C18" s="15">
        <f>C9+C10+C11</f>
        <v>0</v>
      </c>
      <c r="D18" s="16">
        <f>D9+D10+D11</f>
        <v>0</v>
      </c>
      <c r="E18" s="16">
        <f>E9+E10+E11</f>
        <v>0</v>
      </c>
      <c r="F18" s="16">
        <f>F9+F10+F11</f>
        <v>0</v>
      </c>
    </row>
    <row r="19" ht="20.05" customHeight="1">
      <c r="B19" t="s" s="10">
        <v>18</v>
      </c>
      <c r="C19" s="15">
        <f>C17+C18</f>
        <v>55</v>
      </c>
      <c r="D19" s="16">
        <f>D17+D18</f>
        <v>55</v>
      </c>
      <c r="E19" s="16">
        <f>E17+E18</f>
        <v>55</v>
      </c>
      <c r="F19" s="16">
        <f>F17+F18</f>
        <v>55</v>
      </c>
    </row>
    <row r="20" ht="20.05" customHeight="1">
      <c r="B20" t="s" s="18">
        <v>19</v>
      </c>
      <c r="C20" s="15"/>
      <c r="D20" s="16"/>
      <c r="E20" s="16"/>
      <c r="F20" s="19"/>
    </row>
    <row r="21" ht="20.05" customHeight="1">
      <c r="B21" t="s" s="10">
        <v>20</v>
      </c>
      <c r="C21" s="15">
        <f>-AVERAGE('Sales'!E20)</f>
        <v>-193</v>
      </c>
      <c r="D21" s="16">
        <f>C21</f>
        <v>-193</v>
      </c>
      <c r="E21" s="16">
        <f>D21</f>
        <v>-193</v>
      </c>
      <c r="F21" s="16">
        <f>E21</f>
        <v>-193</v>
      </c>
    </row>
    <row r="22" ht="20.05" customHeight="1">
      <c r="B22" t="s" s="10">
        <v>21</v>
      </c>
      <c r="C22" s="15">
        <f>C6+C8+C21</f>
        <v>61.987706247374</v>
      </c>
      <c r="D22" s="16">
        <f>D6+D8+D21</f>
        <v>79.836845684690</v>
      </c>
      <c r="E22" s="16">
        <f>E6+E8+E21</f>
        <v>93.478687968925</v>
      </c>
      <c r="F22" s="16">
        <f>F6+F8+F21</f>
        <v>93.478687968925</v>
      </c>
    </row>
    <row r="23" ht="20.05" customHeight="1">
      <c r="B23" t="s" s="18">
        <v>22</v>
      </c>
      <c r="C23" s="15"/>
      <c r="D23" s="16"/>
      <c r="E23" s="16"/>
      <c r="F23" s="16"/>
    </row>
    <row r="24" ht="20.05" customHeight="1">
      <c r="B24" t="s" s="10">
        <v>23</v>
      </c>
      <c r="C24" s="15">
        <f>'Balance sheet'!E16+'Balance sheet'!F16-C10</f>
        <v>18823.1</v>
      </c>
      <c r="D24" s="16">
        <f>C24-D10</f>
        <v>18962.2</v>
      </c>
      <c r="E24" s="16">
        <f>D24-E10</f>
        <v>19101.3</v>
      </c>
      <c r="F24" s="16">
        <f>E24-F10</f>
        <v>19240.4</v>
      </c>
    </row>
    <row r="25" ht="20.05" customHeight="1">
      <c r="B25" t="s" s="10">
        <v>24</v>
      </c>
      <c r="C25" s="15">
        <f>'Balance sheet'!F16-C21</f>
        <v>7583</v>
      </c>
      <c r="D25" s="16">
        <f>C25-D21</f>
        <v>7776</v>
      </c>
      <c r="E25" s="16">
        <f>D25-E21</f>
        <v>7969</v>
      </c>
      <c r="F25" s="16">
        <f>E25-F21</f>
        <v>8162</v>
      </c>
    </row>
    <row r="26" ht="20.05" customHeight="1">
      <c r="B26" t="s" s="10">
        <v>25</v>
      </c>
      <c r="C26" s="15">
        <f>C24-C25</f>
        <v>11240.1</v>
      </c>
      <c r="D26" s="16">
        <f>D24-D25</f>
        <v>11186.2</v>
      </c>
      <c r="E26" s="16">
        <f>E24-E25</f>
        <v>11132.3</v>
      </c>
      <c r="F26" s="16">
        <f>F24-F25</f>
        <v>11078.4</v>
      </c>
    </row>
    <row r="27" ht="20.05" customHeight="1">
      <c r="B27" t="s" s="10">
        <v>11</v>
      </c>
      <c r="C27" s="15">
        <f>'Balance sheet'!G16+C12</f>
        <v>3210.05</v>
      </c>
      <c r="D27" s="16">
        <f>C27+D12</f>
        <v>3049.5475</v>
      </c>
      <c r="E27" s="16">
        <f>D27+E12</f>
        <v>2897.070125</v>
      </c>
      <c r="F27" s="16">
        <f>E27+F12</f>
        <v>2752.21661875</v>
      </c>
    </row>
    <row r="28" ht="20.05" customHeight="1">
      <c r="B28" t="s" s="10">
        <v>12</v>
      </c>
      <c r="C28" s="15">
        <f>C13</f>
        <v>53.062293752626</v>
      </c>
      <c r="D28" s="16">
        <f>C28+D13</f>
        <v>79.82794806793601</v>
      </c>
      <c r="E28" s="16">
        <f>D28+E13</f>
        <v>84.92663509901099</v>
      </c>
      <c r="F28" s="16">
        <f>E28+F13</f>
        <v>82.401453380086</v>
      </c>
    </row>
    <row r="29" ht="20.05" customHeight="1">
      <c r="B29" t="s" s="10">
        <v>26</v>
      </c>
      <c r="C29" s="15">
        <f>'Balance sheet'!H16+C22+C15</f>
        <v>8031.987706247370</v>
      </c>
      <c r="D29" s="16">
        <f>C29+D22+D15</f>
        <v>8111.824551932060</v>
      </c>
      <c r="E29" s="16">
        <f>D29+E22+E15</f>
        <v>8205.303239900990</v>
      </c>
      <c r="F29" s="16">
        <f>E29+F22+F15</f>
        <v>8298.781927869921</v>
      </c>
    </row>
    <row r="30" ht="20.05" customHeight="1">
      <c r="B30" t="s" s="10">
        <v>27</v>
      </c>
      <c r="C30" s="15">
        <f>C27+C28+C29-C19-C26</f>
        <v>-4e-12</v>
      </c>
      <c r="D30" s="16">
        <f>D27+D28+D29-D19-D26</f>
        <v>-4e-12</v>
      </c>
      <c r="E30" s="16">
        <f>E27+E28+E29-E19-E26</f>
        <v>1e-12</v>
      </c>
      <c r="F30" s="16">
        <f>F27+F28+F29-F19-F26</f>
        <v>6e-12</v>
      </c>
    </row>
    <row r="31" ht="20.05" customHeight="1">
      <c r="B31" t="s" s="10">
        <v>28</v>
      </c>
      <c r="C31" s="15">
        <f>C19-C27-C28</f>
        <v>-3208.112293752630</v>
      </c>
      <c r="D31" s="16">
        <f>D19-D27-D28</f>
        <v>-3074.375448067940</v>
      </c>
      <c r="E31" s="16">
        <f>E19-E27-E28</f>
        <v>-2926.996760099010</v>
      </c>
      <c r="F31" s="16">
        <f>F19-F27-F28</f>
        <v>-2779.618072130090</v>
      </c>
    </row>
    <row r="32" ht="20.05" customHeight="1">
      <c r="B32" t="s" s="10">
        <v>29</v>
      </c>
      <c r="C32" s="15"/>
      <c r="D32" s="16"/>
      <c r="E32" s="16"/>
      <c r="F32" s="16"/>
    </row>
    <row r="33" ht="20.05" customHeight="1">
      <c r="B33" t="s" s="10">
        <v>30</v>
      </c>
      <c r="C33" s="15">
        <f>'Cashflow'!N20-(C11)</f>
        <v>-3117.762293752630</v>
      </c>
      <c r="D33" s="16">
        <f>C33-D11</f>
        <v>-2984.025448067940</v>
      </c>
      <c r="E33" s="16">
        <f>D33-E11</f>
        <v>-2836.646760099020</v>
      </c>
      <c r="F33" s="16">
        <f>E33-F11</f>
        <v>-2689.2680721301</v>
      </c>
    </row>
    <row r="34" ht="20.05" customHeight="1">
      <c r="B34" t="s" s="10">
        <v>31</v>
      </c>
      <c r="C34" s="15"/>
      <c r="D34" s="16"/>
      <c r="E34" s="16"/>
      <c r="F34" s="16">
        <v>5148155838464</v>
      </c>
    </row>
    <row r="35" ht="20.05" customHeight="1">
      <c r="B35" t="s" s="10">
        <v>31</v>
      </c>
      <c r="C35" s="15"/>
      <c r="D35" s="16"/>
      <c r="E35" s="16"/>
      <c r="F35" s="16">
        <f>F34/1000000000</f>
        <v>5148.155838464</v>
      </c>
    </row>
    <row r="36" ht="20.05" customHeight="1">
      <c r="B36" t="s" s="10">
        <v>32</v>
      </c>
      <c r="C36" s="15"/>
      <c r="D36" s="16"/>
      <c r="E36" s="16"/>
      <c r="F36" s="20">
        <f>F35/(F19+F26)</f>
        <v>0.462406438146837</v>
      </c>
    </row>
    <row r="37" ht="20.05" customHeight="1">
      <c r="B37" t="s" s="10">
        <v>33</v>
      </c>
      <c r="C37" s="15"/>
      <c r="D37" s="16"/>
      <c r="E37" s="16"/>
      <c r="F37" s="21">
        <f>-(C15+D15+E15+F15)/F35</f>
        <v>0</v>
      </c>
    </row>
    <row r="38" ht="20.05" customHeight="1">
      <c r="B38" t="s" s="10">
        <v>34</v>
      </c>
      <c r="C38" s="15"/>
      <c r="D38" s="16"/>
      <c r="E38" s="16"/>
      <c r="F38" s="16">
        <f>SUM(C9:F10)</f>
        <v>544.381927869914</v>
      </c>
    </row>
    <row r="39" ht="20.05" customHeight="1">
      <c r="B39" t="s" s="10">
        <v>35</v>
      </c>
      <c r="C39" s="15"/>
      <c r="D39" s="16"/>
      <c r="E39" s="16"/>
      <c r="F39" s="16">
        <f>'Balance sheet'!E16/F38</f>
        <v>20.7464638736112</v>
      </c>
    </row>
    <row r="40" ht="20.05" customHeight="1">
      <c r="B40" t="s" s="10">
        <v>29</v>
      </c>
      <c r="C40" s="15"/>
      <c r="D40" s="16"/>
      <c r="E40" s="16"/>
      <c r="F40" s="16">
        <f>F35/F38</f>
        <v>9.456882337383931</v>
      </c>
    </row>
    <row r="41" ht="20.05" customHeight="1">
      <c r="B41" t="s" s="10">
        <v>36</v>
      </c>
      <c r="C41" s="15"/>
      <c r="D41" s="16"/>
      <c r="E41" s="16"/>
      <c r="F41" s="16">
        <v>11</v>
      </c>
    </row>
    <row r="42" ht="20.05" customHeight="1">
      <c r="B42" t="s" s="10">
        <v>37</v>
      </c>
      <c r="C42" s="15"/>
      <c r="D42" s="14"/>
      <c r="E42" s="14"/>
      <c r="F42" s="16">
        <f>F38*F41</f>
        <v>5988.201206569050</v>
      </c>
    </row>
    <row r="43" ht="20.05" customHeight="1">
      <c r="B43" t="s" s="10">
        <v>38</v>
      </c>
      <c r="C43" s="15"/>
      <c r="D43" s="14"/>
      <c r="E43" s="14"/>
      <c r="F43" s="16">
        <f>F35/F45</f>
        <v>42.1979986759344</v>
      </c>
    </row>
    <row r="44" ht="20.05" customHeight="1">
      <c r="B44" t="s" s="10">
        <v>39</v>
      </c>
      <c r="C44" s="15"/>
      <c r="D44" s="14"/>
      <c r="E44" s="14"/>
      <c r="F44" s="16">
        <f>F42/F43</f>
        <v>141.907232439062</v>
      </c>
    </row>
    <row r="45" ht="20.05" customHeight="1">
      <c r="B45" t="s" s="10">
        <v>40</v>
      </c>
      <c r="C45" s="15"/>
      <c r="D45" s="14"/>
      <c r="E45" s="14"/>
      <c r="F45" s="16">
        <v>122</v>
      </c>
    </row>
    <row r="46" ht="20.05" customHeight="1">
      <c r="B46" t="s" s="10">
        <v>41</v>
      </c>
      <c r="C46" s="22"/>
      <c r="D46" s="14"/>
      <c r="E46" s="14"/>
      <c r="F46" s="21">
        <f>F44/F45-1</f>
        <v>0.163174036385754</v>
      </c>
    </row>
    <row r="47" ht="20.05" customHeight="1">
      <c r="B47" t="s" s="10">
        <v>42</v>
      </c>
      <c r="C47" s="22"/>
      <c r="D47" s="14"/>
      <c r="E47" s="14"/>
      <c r="F47" s="21">
        <f>'Sales'!C20/'Sales'!C16-1</f>
        <v>-0.31278675443846</v>
      </c>
    </row>
    <row r="48" ht="20.05" customHeight="1">
      <c r="B48" t="s" s="10">
        <v>43</v>
      </c>
      <c r="C48" s="22"/>
      <c r="D48" s="14"/>
      <c r="E48" s="14"/>
      <c r="F48" s="21">
        <f>'Sales'!F23/'Sales'!E23-1</f>
        <v>0.127516412943386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2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46875" style="23" customWidth="1"/>
    <col min="2" max="2" width="7.95312" style="23" customWidth="1"/>
    <col min="3" max="10" width="9.89844" style="23" customWidth="1"/>
    <col min="11" max="16384" width="16.3516" style="23" customWidth="1"/>
  </cols>
  <sheetData>
    <row r="1" ht="26.8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36</v>
      </c>
      <c r="E3" t="s" s="5">
        <v>24</v>
      </c>
      <c r="F3" t="s" s="5">
        <v>44</v>
      </c>
      <c r="G3" t="s" s="5">
        <v>45</v>
      </c>
      <c r="H3" t="s" s="5">
        <v>46</v>
      </c>
      <c r="I3" t="s" s="5">
        <v>46</v>
      </c>
      <c r="J3" t="s" s="5">
        <v>36</v>
      </c>
    </row>
    <row r="4" ht="20.25" customHeight="1">
      <c r="B4" s="24">
        <v>2018</v>
      </c>
      <c r="C4" s="25"/>
      <c r="D4" s="8"/>
      <c r="E4" s="26">
        <v>0</v>
      </c>
      <c r="F4" s="26">
        <v>0</v>
      </c>
      <c r="G4" s="9"/>
      <c r="H4" s="9"/>
      <c r="I4" s="9"/>
      <c r="J4" s="9"/>
    </row>
    <row r="5" ht="20.05" customHeight="1">
      <c r="B5" s="27"/>
      <c r="C5" s="28">
        <v>767.96</v>
      </c>
      <c r="D5" s="19"/>
      <c r="E5" s="29">
        <v>506</v>
      </c>
      <c r="F5" s="16">
        <v>-65.34</v>
      </c>
      <c r="G5" s="12"/>
      <c r="H5" s="12">
        <f>(E5+F5-C5)/C5</f>
        <v>-0.426194072607948</v>
      </c>
      <c r="I5" s="12">
        <f>AVERAGE(H3:H5)</f>
        <v>-0.426194072607948</v>
      </c>
      <c r="J5" s="12"/>
    </row>
    <row r="6" ht="20.05" customHeight="1">
      <c r="B6" s="27"/>
      <c r="C6" s="28">
        <v>868.46</v>
      </c>
      <c r="D6" s="19"/>
      <c r="E6" s="29">
        <v>256.21</v>
      </c>
      <c r="F6" s="16">
        <v>-4.69</v>
      </c>
      <c r="G6" s="12">
        <f>C6/C5-1</f>
        <v>0.130866190947445</v>
      </c>
      <c r="H6" s="12">
        <f>(E6+F6-C6)/C6</f>
        <v>-0.710383897934274</v>
      </c>
      <c r="I6" s="12">
        <f>AVERAGE(H3:H6)</f>
        <v>-0.568288985271111</v>
      </c>
      <c r="J6" s="12"/>
    </row>
    <row r="7" ht="20.05" customHeight="1">
      <c r="B7" s="27"/>
      <c r="C7" s="28">
        <v>822.8200000000001</v>
      </c>
      <c r="D7" s="19"/>
      <c r="E7" s="29">
        <v>127.79</v>
      </c>
      <c r="F7" s="16">
        <v>0.9</v>
      </c>
      <c r="G7" s="12">
        <f>C7/C6-1</f>
        <v>-0.0525527946019391</v>
      </c>
      <c r="H7" s="12">
        <f>(E7+F7-C7)/C7</f>
        <v>-0.84359884300333</v>
      </c>
      <c r="I7" s="12">
        <f>AVERAGE(H4:H7)</f>
        <v>-0.660058937848517</v>
      </c>
      <c r="J7" s="12"/>
    </row>
    <row r="8" ht="20.05" customHeight="1">
      <c r="B8" s="30">
        <v>2019</v>
      </c>
      <c r="C8" s="28">
        <v>764.6900000000001</v>
      </c>
      <c r="D8" s="19"/>
      <c r="E8" s="29">
        <v>276</v>
      </c>
      <c r="F8" s="16">
        <v>-4.025</v>
      </c>
      <c r="G8" s="12">
        <f>C8/C7-1</f>
        <v>-0.0706472861622226</v>
      </c>
      <c r="H8" s="12">
        <f>(E8+F8-C8)/C8</f>
        <v>-0.644332997685337</v>
      </c>
      <c r="I8" s="12">
        <f>AVERAGE(H5:H8)</f>
        <v>-0.656127452807722</v>
      </c>
      <c r="J8" s="12"/>
    </row>
    <row r="9" ht="20.05" customHeight="1">
      <c r="B9" s="27"/>
      <c r="C9" s="28">
        <v>784.98</v>
      </c>
      <c r="D9" s="19"/>
      <c r="E9" s="29">
        <v>246</v>
      </c>
      <c r="F9" s="16">
        <v>26.925</v>
      </c>
      <c r="G9" s="12">
        <f>C9/C8-1</f>
        <v>0.0265336280061201</v>
      </c>
      <c r="H9" s="12">
        <f>(E9+F9-C9)/C9</f>
        <v>-0.652315982572804</v>
      </c>
      <c r="I9" s="12">
        <f>AVERAGE(H6:H9)</f>
        <v>-0.712657930298936</v>
      </c>
      <c r="J9" s="12"/>
    </row>
    <row r="10" ht="20.05" customHeight="1">
      <c r="B10" s="27"/>
      <c r="C10" s="28">
        <v>977.77</v>
      </c>
      <c r="D10" s="19"/>
      <c r="E10" s="29">
        <v>245</v>
      </c>
      <c r="F10" s="16">
        <v>133.8</v>
      </c>
      <c r="G10" s="12">
        <f>C10/C9-1</f>
        <v>0.245598613977426</v>
      </c>
      <c r="H10" s="12">
        <f>(E10+F10-C10)/C10</f>
        <v>-0.612587827403173</v>
      </c>
      <c r="I10" s="12">
        <f>AVERAGE(H7:H10)</f>
        <v>-0.688208912666161</v>
      </c>
      <c r="J10" s="12"/>
    </row>
    <row r="11" ht="20.05" customHeight="1">
      <c r="B11" s="27"/>
      <c r="C11" s="28">
        <v>997.46</v>
      </c>
      <c r="D11" s="19"/>
      <c r="E11" s="29">
        <v>277</v>
      </c>
      <c r="F11" s="16">
        <v>169.48</v>
      </c>
      <c r="G11" s="12">
        <f>C11/C10-1</f>
        <v>0.0201376601859333</v>
      </c>
      <c r="H11" s="12">
        <f>(E11+F11-C11)/C11</f>
        <v>-0.552383052954504</v>
      </c>
      <c r="I11" s="12">
        <f>AVERAGE(H8:H11)</f>
        <v>-0.615404965153955</v>
      </c>
      <c r="J11" s="12"/>
    </row>
    <row r="12" ht="20.05" customHeight="1">
      <c r="B12" s="30">
        <v>2020</v>
      </c>
      <c r="C12" s="28">
        <v>842.65</v>
      </c>
      <c r="D12" s="19"/>
      <c r="E12" s="29">
        <v>237</v>
      </c>
      <c r="F12" s="16">
        <v>40.811</v>
      </c>
      <c r="G12" s="12">
        <f>C12/C11-1</f>
        <v>-0.155204218715537</v>
      </c>
      <c r="H12" s="12">
        <f>(E12+F12-C12)/C12</f>
        <v>-0.6703127039696199</v>
      </c>
      <c r="I12" s="12">
        <f>AVERAGE(H9:H12)</f>
        <v>-0.621899891725025</v>
      </c>
      <c r="J12" s="12"/>
    </row>
    <row r="13" ht="20.05" customHeight="1">
      <c r="B13" s="27"/>
      <c r="C13" s="28">
        <v>890.9400000000001</v>
      </c>
      <c r="D13" s="19"/>
      <c r="E13" s="29">
        <v>278</v>
      </c>
      <c r="F13" s="16">
        <v>84.979</v>
      </c>
      <c r="G13" s="12">
        <f>C13/C12-1</f>
        <v>0.0573073043375067</v>
      </c>
      <c r="H13" s="12">
        <f>(E13+F13-C13)/C13</f>
        <v>-0.59258872651357</v>
      </c>
      <c r="I13" s="12">
        <f>AVERAGE(H10:H13)</f>
        <v>-0.606968077710217</v>
      </c>
      <c r="J13" s="12"/>
    </row>
    <row r="14" ht="20.05" customHeight="1">
      <c r="B14" s="27"/>
      <c r="C14" s="28">
        <f>2686.2-SUM(C12:C13)</f>
        <v>952.61</v>
      </c>
      <c r="D14" s="19"/>
      <c r="E14" s="29">
        <f>748+12-SUM(E12:E13)</f>
        <v>245</v>
      </c>
      <c r="F14" s="16">
        <f>236.1-SUM(F12:F13)</f>
        <v>110.31</v>
      </c>
      <c r="G14" s="12">
        <f>C14/C13-1</f>
        <v>0.06921902709497831</v>
      </c>
      <c r="H14" s="12">
        <f>(E14+F14-C14)/C14</f>
        <v>-0.627014203084158</v>
      </c>
      <c r="I14" s="12">
        <f>AVERAGE(H11:H14)</f>
        <v>-0.610574671630463</v>
      </c>
      <c r="J14" s="12"/>
    </row>
    <row r="15" ht="20.05" customHeight="1">
      <c r="B15" s="27"/>
      <c r="C15" s="28">
        <f>3685.3-SUM(C12:C14)</f>
        <v>999.1</v>
      </c>
      <c r="D15" s="29">
        <v>1019.2927</v>
      </c>
      <c r="E15" s="29">
        <f>58.1+911.9-SUM(E12:E14)</f>
        <v>210</v>
      </c>
      <c r="F15" s="16">
        <f>240.4-SUM(F12:F14)</f>
        <v>4.3</v>
      </c>
      <c r="G15" s="12">
        <f>C15/C14-1</f>
        <v>0.048802762935514</v>
      </c>
      <c r="H15" s="12">
        <f>(E15+F15-C15)/C15</f>
        <v>-0.785506956260635</v>
      </c>
      <c r="I15" s="12">
        <f>AVERAGE(H12:H15)</f>
        <v>-0.668855647456996</v>
      </c>
      <c r="J15" s="12"/>
    </row>
    <row r="16" ht="20.05" customHeight="1">
      <c r="B16" s="30">
        <v>2020</v>
      </c>
      <c r="C16" s="15">
        <v>1002.6</v>
      </c>
      <c r="D16" s="29">
        <v>988.713919</v>
      </c>
      <c r="E16" s="16">
        <f>225.8+13</f>
        <v>238.8</v>
      </c>
      <c r="F16" s="16">
        <v>101.3</v>
      </c>
      <c r="G16" s="12">
        <f>C16/C15-1</f>
        <v>0.0035031528375538</v>
      </c>
      <c r="H16" s="12">
        <f>(E16+F16-C16)/C16</f>
        <v>-0.660781966886096</v>
      </c>
      <c r="I16" s="12">
        <f>AVERAGE(H13:H16)</f>
        <v>-0.666472963186115</v>
      </c>
      <c r="J16" s="12"/>
    </row>
    <row r="17" ht="20.05" customHeight="1">
      <c r="B17" s="27"/>
      <c r="C17" s="15">
        <f>2052.2-C16</f>
        <v>1049.6</v>
      </c>
      <c r="D17" s="29">
        <v>1032.678</v>
      </c>
      <c r="E17" s="16">
        <f>471.5+34.9-E16</f>
        <v>267.6</v>
      </c>
      <c r="F17" s="29">
        <f>164.3-F16</f>
        <v>63</v>
      </c>
      <c r="G17" s="12">
        <f>C17/C16-1</f>
        <v>0.0468781168960702</v>
      </c>
      <c r="H17" s="12">
        <f>(E17+F17-C17)/C17</f>
        <v>-0.685022865853659</v>
      </c>
      <c r="I17" s="12">
        <f>AVERAGE(H14:H17)</f>
        <v>-0.689581498021137</v>
      </c>
      <c r="J17" s="12"/>
    </row>
    <row r="18" ht="20.05" customHeight="1">
      <c r="B18" s="27"/>
      <c r="C18" s="15">
        <f>2926.5-SUM(C16:C17)</f>
        <v>874.3</v>
      </c>
      <c r="D18" s="29">
        <v>1123.072</v>
      </c>
      <c r="E18" s="16">
        <f>668.5-SUM(E16:E17)</f>
        <v>162.1</v>
      </c>
      <c r="F18" s="31">
        <f>256.9-SUM(F16:F17)</f>
        <v>92.59999999999999</v>
      </c>
      <c r="G18" s="12">
        <f>C18/C17-1</f>
        <v>-0.167016006097561</v>
      </c>
      <c r="H18" s="12">
        <f>(E18+F18-C18)/C18</f>
        <v>-0.708681230698845</v>
      </c>
      <c r="I18" s="12">
        <f>AVERAGE(H15:H18)</f>
        <v>-0.7099982549248089</v>
      </c>
      <c r="J18" s="12"/>
    </row>
    <row r="19" ht="20.05" customHeight="1">
      <c r="B19" s="27"/>
      <c r="C19" s="15">
        <f>3741.7-SUM(C16:C18)</f>
        <v>815.2</v>
      </c>
      <c r="D19" s="29">
        <v>979.216</v>
      </c>
      <c r="E19" s="16">
        <f>881.2-SUM(E16:E18)</f>
        <v>212.7</v>
      </c>
      <c r="F19" s="16">
        <f>192.5-SUM(F16:F18)</f>
        <v>-64.40000000000001</v>
      </c>
      <c r="G19" s="12">
        <f>C19/C18-1</f>
        <v>-0.06759693469060959</v>
      </c>
      <c r="H19" s="12">
        <f>(E19+F19-C19)/C19</f>
        <v>-0.818081452404318</v>
      </c>
      <c r="I19" s="12">
        <f>AVERAGE(H16:H19)</f>
        <v>-0.71814187896073</v>
      </c>
      <c r="J19" s="12"/>
    </row>
    <row r="20" ht="20.05" customHeight="1">
      <c r="B20" s="30">
        <v>2022</v>
      </c>
      <c r="C20" s="28">
        <v>689</v>
      </c>
      <c r="D20" s="29">
        <v>979.216</v>
      </c>
      <c r="E20" s="29">
        <v>193</v>
      </c>
      <c r="F20" s="31">
        <v>17.3</v>
      </c>
      <c r="G20" s="12">
        <f>C20/C19-1</f>
        <v>-0.154808635917566</v>
      </c>
      <c r="H20" s="12">
        <f>(E20+F20-C20)/C20</f>
        <v>-0.69477503628447</v>
      </c>
      <c r="I20" s="12">
        <f>AVERAGE(H17:H20)</f>
        <v>-0.726640146310323</v>
      </c>
      <c r="J20" s="12">
        <v>-0.7099982549248089</v>
      </c>
    </row>
    <row r="21" ht="20.05" customHeight="1">
      <c r="B21" s="27"/>
      <c r="C21" s="22"/>
      <c r="D21" s="29">
        <f>'Model'!C6</f>
        <v>771.6799999999999</v>
      </c>
      <c r="E21" s="19"/>
      <c r="F21" s="29"/>
      <c r="G21" s="12"/>
      <c r="H21" s="19"/>
      <c r="I21" s="19"/>
      <c r="J21" s="12">
        <f>'Model'!C7</f>
        <v>-0.669568077120861</v>
      </c>
    </row>
    <row r="22" ht="20.05" customHeight="1">
      <c r="B22" s="27"/>
      <c r="C22" s="22"/>
      <c r="D22" s="29">
        <f>'Model'!D6</f>
        <v>825.6976</v>
      </c>
      <c r="E22" s="19"/>
      <c r="F22" s="19"/>
      <c r="G22" s="12"/>
      <c r="H22" s="12"/>
      <c r="I22" s="12"/>
      <c r="J22" s="12"/>
    </row>
    <row r="23" ht="20.05" customHeight="1">
      <c r="B23" s="27"/>
      <c r="C23" s="22"/>
      <c r="D23" s="29">
        <f>'Model'!E6</f>
        <v>866.98248</v>
      </c>
      <c r="E23" s="16">
        <f>SUM(C15:C20)</f>
        <v>5429.8</v>
      </c>
      <c r="F23" s="29">
        <f>SUM(D15:D20)</f>
        <v>6122.188619</v>
      </c>
      <c r="G23" s="12"/>
      <c r="H23" s="12"/>
      <c r="I23" s="12"/>
      <c r="J23" s="12"/>
    </row>
    <row r="24" ht="20.05" customHeight="1">
      <c r="B24" s="30">
        <v>2023</v>
      </c>
      <c r="C24" s="22"/>
      <c r="D24" s="29">
        <f>'Model'!F6</f>
        <v>866.98248</v>
      </c>
      <c r="E24" s="19"/>
      <c r="F24" s="19"/>
      <c r="G24" s="12"/>
      <c r="H24" s="12"/>
      <c r="I24" s="12"/>
      <c r="J24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6406" style="32" customWidth="1"/>
    <col min="2" max="2" width="8.39844" style="32" customWidth="1"/>
    <col min="3" max="16" width="10.0312" style="32" customWidth="1"/>
    <col min="17" max="16384" width="16.3516" style="32" customWidth="1"/>
  </cols>
  <sheetData>
    <row r="1" ht="40.9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1</v>
      </c>
      <c r="C3" t="s" s="5">
        <v>47</v>
      </c>
      <c r="D3" t="s" s="5">
        <v>8</v>
      </c>
      <c r="E3" t="s" s="5">
        <v>48</v>
      </c>
      <c r="F3" t="s" s="5">
        <v>49</v>
      </c>
      <c r="G3" t="s" s="5">
        <v>50</v>
      </c>
      <c r="H3" t="s" s="5">
        <v>11</v>
      </c>
      <c r="I3" t="s" s="5">
        <v>26</v>
      </c>
      <c r="J3" t="s" s="5">
        <v>51</v>
      </c>
      <c r="K3" t="s" s="5">
        <v>52</v>
      </c>
      <c r="L3" t="s" s="5">
        <v>34</v>
      </c>
      <c r="M3" t="s" s="5">
        <v>36</v>
      </c>
      <c r="N3" t="s" s="5">
        <v>30</v>
      </c>
      <c r="O3" t="s" s="5">
        <v>36</v>
      </c>
      <c r="P3" s="33"/>
    </row>
    <row r="4" ht="20.25" customHeight="1">
      <c r="B4" s="24">
        <v>2018</v>
      </c>
      <c r="C4" s="2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0.05" customHeight="1">
      <c r="B5" s="27"/>
      <c r="C5" s="15">
        <v>1560.14</v>
      </c>
      <c r="D5" s="16">
        <v>896.4</v>
      </c>
      <c r="E5" s="16">
        <v>-552.3099999999999</v>
      </c>
      <c r="F5" s="16">
        <v>-69</v>
      </c>
      <c r="G5" s="16">
        <v>-1.2</v>
      </c>
      <c r="H5" s="16"/>
      <c r="I5" s="16"/>
      <c r="J5" s="16">
        <v>-404.05</v>
      </c>
      <c r="K5" s="16">
        <f>F5+G5+D5+E5</f>
        <v>273.89</v>
      </c>
      <c r="L5" s="31"/>
      <c r="M5" s="19"/>
      <c r="N5" s="16">
        <f>-(J5-G5-F5)+N4</f>
        <v>333.85</v>
      </c>
      <c r="O5" s="19"/>
      <c r="P5" s="29">
        <v>1</v>
      </c>
    </row>
    <row r="6" ht="20.05" customHeight="1">
      <c r="B6" s="27"/>
      <c r="C6" s="15">
        <v>649.65</v>
      </c>
      <c r="D6" s="16">
        <v>115.09</v>
      </c>
      <c r="E6" s="16">
        <v>-928.59</v>
      </c>
      <c r="F6" s="16">
        <v>-53</v>
      </c>
      <c r="G6" s="16">
        <v>0.2</v>
      </c>
      <c r="H6" s="16"/>
      <c r="I6" s="16"/>
      <c r="J6" s="16">
        <v>881.85</v>
      </c>
      <c r="K6" s="16">
        <f>F6+G6+D6+E6</f>
        <v>-866.3</v>
      </c>
      <c r="L6" s="31">
        <f>AVERAGE(K3:K6)</f>
        <v>-296.205</v>
      </c>
      <c r="M6" s="19"/>
      <c r="N6" s="16">
        <f>-(J6-G6-F6)+N5</f>
        <v>-600.8</v>
      </c>
      <c r="O6" s="19"/>
      <c r="P6" s="29">
        <f>1+P5</f>
        <v>2</v>
      </c>
    </row>
    <row r="7" ht="20.05" customHeight="1">
      <c r="B7" s="27"/>
      <c r="C7" s="15">
        <v>988.49</v>
      </c>
      <c r="D7" s="16">
        <v>58.75</v>
      </c>
      <c r="E7" s="16">
        <v>-510.9</v>
      </c>
      <c r="F7" s="16">
        <v>-37</v>
      </c>
      <c r="G7" s="16">
        <v>6.38</v>
      </c>
      <c r="H7" s="16"/>
      <c r="I7" s="16"/>
      <c r="J7" s="16">
        <v>452.66</v>
      </c>
      <c r="K7" s="16">
        <f>F7+G7+D7+E7</f>
        <v>-482.77</v>
      </c>
      <c r="L7" s="16">
        <f>AVERAGE(K4:K7)</f>
        <v>-358.393333333333</v>
      </c>
      <c r="M7" s="19"/>
      <c r="N7" s="16">
        <f>-(J7-G7-F7)+N6</f>
        <v>-1084.08</v>
      </c>
      <c r="O7" s="19"/>
      <c r="P7" s="29">
        <f>1+P6</f>
        <v>3</v>
      </c>
    </row>
    <row r="8" ht="20.05" customHeight="1">
      <c r="B8" s="30">
        <v>2019</v>
      </c>
      <c r="C8" s="15">
        <v>757.92</v>
      </c>
      <c r="D8" s="16">
        <v>224.14</v>
      </c>
      <c r="E8" s="16">
        <v>-304.15</v>
      </c>
      <c r="F8" s="16">
        <v>-36.6</v>
      </c>
      <c r="G8" s="16">
        <v>-0.6</v>
      </c>
      <c r="H8" s="16"/>
      <c r="I8" s="16"/>
      <c r="J8" s="16">
        <v>25.525</v>
      </c>
      <c r="K8" s="16">
        <f>F8+G8+D8+E8</f>
        <v>-117.21</v>
      </c>
      <c r="L8" s="16">
        <f>AVERAGE(K5:K8)</f>
        <v>-298.0975</v>
      </c>
      <c r="M8" s="19"/>
      <c r="N8" s="16">
        <f>-(J8-G8-F8)+N7</f>
        <v>-1146.805</v>
      </c>
      <c r="O8" s="19"/>
      <c r="P8" s="29">
        <f>1+P7</f>
        <v>4</v>
      </c>
    </row>
    <row r="9" ht="20.05" customHeight="1">
      <c r="B9" s="27"/>
      <c r="C9" s="15">
        <v>802.22</v>
      </c>
      <c r="D9" s="16">
        <v>672.26</v>
      </c>
      <c r="E9" s="16">
        <v>-248.15</v>
      </c>
      <c r="F9" s="16">
        <v>-27.4</v>
      </c>
      <c r="G9" s="16">
        <v>0.1</v>
      </c>
      <c r="H9" s="16"/>
      <c r="I9" s="16"/>
      <c r="J9" s="16">
        <v>-429.575</v>
      </c>
      <c r="K9" s="16">
        <f>F9+G9+D9+E9</f>
        <v>396.81</v>
      </c>
      <c r="L9" s="16">
        <f>AVERAGE(K6:K9)</f>
        <v>-267.3675</v>
      </c>
      <c r="M9" s="19"/>
      <c r="N9" s="16">
        <f>-(J9-G9-F9)+N8</f>
        <v>-744.53</v>
      </c>
      <c r="O9" s="19"/>
      <c r="P9" s="29">
        <f>1+P8</f>
        <v>5</v>
      </c>
    </row>
    <row r="10" ht="20.05" customHeight="1">
      <c r="B10" s="27"/>
      <c r="C10" s="15">
        <v>959.03</v>
      </c>
      <c r="D10" s="16">
        <v>114.6</v>
      </c>
      <c r="E10" s="16">
        <v>-260.59</v>
      </c>
      <c r="F10" s="16">
        <v>-19</v>
      </c>
      <c r="G10" s="16">
        <v>0</v>
      </c>
      <c r="H10" s="16"/>
      <c r="I10" s="16"/>
      <c r="J10" s="16">
        <v>459.69</v>
      </c>
      <c r="K10" s="16">
        <f>F10+G10+D10+E10</f>
        <v>-164.99</v>
      </c>
      <c r="L10" s="16">
        <f>AVERAGE(K7:K10)</f>
        <v>-92.04000000000001</v>
      </c>
      <c r="M10" s="19"/>
      <c r="N10" s="16">
        <f>-(J10-G10-F10)+N9</f>
        <v>-1223.22</v>
      </c>
      <c r="O10" s="19"/>
      <c r="P10" s="29">
        <f>1+P9</f>
        <v>6</v>
      </c>
    </row>
    <row r="11" ht="20.05" customHeight="1">
      <c r="B11" s="27"/>
      <c r="C11" s="15">
        <v>904.33</v>
      </c>
      <c r="D11" s="16">
        <v>-125.03</v>
      </c>
      <c r="E11" s="16">
        <v>-584.78</v>
      </c>
      <c r="F11" s="16">
        <v>-58</v>
      </c>
      <c r="G11" s="16">
        <v>-1.6</v>
      </c>
      <c r="H11" s="16"/>
      <c r="I11" s="16"/>
      <c r="J11" s="16">
        <v>464.53</v>
      </c>
      <c r="K11" s="16">
        <f>F11+G11+D11+E11</f>
        <v>-769.41</v>
      </c>
      <c r="L11" s="16">
        <f>AVERAGE(K8:K11)</f>
        <v>-163.7</v>
      </c>
      <c r="M11" s="19"/>
      <c r="N11" s="16">
        <f>-(J11-G11-F11)+N10</f>
        <v>-1747.35</v>
      </c>
      <c r="O11" s="19"/>
      <c r="P11" s="29">
        <f>1+P10</f>
        <v>7</v>
      </c>
    </row>
    <row r="12" ht="20.05" customHeight="1">
      <c r="B12" s="30">
        <v>2020</v>
      </c>
      <c r="C12" s="15">
        <v>795.52</v>
      </c>
      <c r="D12" s="16">
        <v>174.73</v>
      </c>
      <c r="E12" s="16">
        <v>-160.07</v>
      </c>
      <c r="F12" s="16">
        <v>-29.8</v>
      </c>
      <c r="G12" s="16">
        <v>-0.8</v>
      </c>
      <c r="H12" s="16"/>
      <c r="I12" s="16"/>
      <c r="J12" s="16">
        <v>-30.616</v>
      </c>
      <c r="K12" s="16">
        <f>F12+G12+D12+E12</f>
        <v>-15.94</v>
      </c>
      <c r="L12" s="16">
        <f>AVERAGE(K9:K12)</f>
        <v>-138.3825</v>
      </c>
      <c r="M12" s="19"/>
      <c r="N12" s="16">
        <f>-(J12-G12-F12)+N11</f>
        <v>-1747.334</v>
      </c>
      <c r="O12" s="19"/>
      <c r="P12" s="29">
        <f>1+P11</f>
        <v>8</v>
      </c>
    </row>
    <row r="13" ht="20.05" customHeight="1">
      <c r="B13" s="27"/>
      <c r="C13" s="15">
        <v>865.3</v>
      </c>
      <c r="D13" s="16">
        <v>502.77</v>
      </c>
      <c r="E13" s="16">
        <v>-341.4</v>
      </c>
      <c r="F13" s="16">
        <v>5.8</v>
      </c>
      <c r="G13" s="16">
        <v>-0.6</v>
      </c>
      <c r="H13" s="16"/>
      <c r="I13" s="16"/>
      <c r="J13" s="16">
        <v>-180.544</v>
      </c>
      <c r="K13" s="16">
        <f>F13+G13+D13+E13</f>
        <v>166.57</v>
      </c>
      <c r="L13" s="16">
        <f>AVERAGE(K10:K13)</f>
        <v>-195.9425</v>
      </c>
      <c r="M13" s="19"/>
      <c r="N13" s="16">
        <f>-(J13-G13-F13)+N12</f>
        <v>-1561.59</v>
      </c>
      <c r="O13" s="19"/>
      <c r="P13" s="29">
        <f>1+P12</f>
        <v>9</v>
      </c>
    </row>
    <row r="14" ht="20.05" customHeight="1">
      <c r="B14" s="27"/>
      <c r="C14" s="15">
        <v>1014.85</v>
      </c>
      <c r="D14" s="16">
        <v>193.3</v>
      </c>
      <c r="E14" s="16">
        <v>-233.82</v>
      </c>
      <c r="F14" s="16">
        <v>-57.9</v>
      </c>
      <c r="G14" s="16">
        <v>-0.6</v>
      </c>
      <c r="H14" s="16"/>
      <c r="I14" s="16"/>
      <c r="J14" s="16">
        <v>-180.544</v>
      </c>
      <c r="K14" s="16">
        <f>F14+G14+D14+E14</f>
        <v>-99.02</v>
      </c>
      <c r="L14" s="16">
        <f>AVERAGE(K11:K14)</f>
        <v>-179.45</v>
      </c>
      <c r="M14" s="19"/>
      <c r="N14" s="16">
        <f>-(J14-G14-F14)+N13</f>
        <v>-1439.546</v>
      </c>
      <c r="O14" s="19"/>
      <c r="P14" s="29">
        <f>1+P13</f>
        <v>10</v>
      </c>
    </row>
    <row r="15" ht="20.05" customHeight="1">
      <c r="B15" s="27"/>
      <c r="C15" s="15">
        <v>987.63</v>
      </c>
      <c r="D15" s="16">
        <v>200.5</v>
      </c>
      <c r="E15" s="16">
        <v>-1572.21</v>
      </c>
      <c r="F15" s="16">
        <v>19.4</v>
      </c>
      <c r="G15" s="16">
        <v>-0.2</v>
      </c>
      <c r="H15" s="16"/>
      <c r="I15" s="16"/>
      <c r="J15" s="16">
        <v>1624.504</v>
      </c>
      <c r="K15" s="16">
        <f>F15+G15+D15+E15</f>
        <v>-1352.51</v>
      </c>
      <c r="L15" s="16">
        <f>AVERAGE(K12:K15)</f>
        <v>-325.225</v>
      </c>
      <c r="M15" s="19"/>
      <c r="N15" s="16">
        <f>-(J15-G15-F15)+N14</f>
        <v>-3044.85</v>
      </c>
      <c r="O15" s="19"/>
      <c r="P15" s="29">
        <f>1+P14</f>
        <v>11</v>
      </c>
    </row>
    <row r="16" ht="20.05" customHeight="1">
      <c r="B16" s="30">
        <v>2021</v>
      </c>
      <c r="C16" s="15">
        <v>975.1</v>
      </c>
      <c r="D16" s="16">
        <v>325.7</v>
      </c>
      <c r="E16" s="16">
        <v>-272.9</v>
      </c>
      <c r="F16" s="16">
        <v>-46.5</v>
      </c>
      <c r="G16" s="16">
        <v>-6.2</v>
      </c>
      <c r="H16" s="16">
        <f>-52.672-F16-G16-I16</f>
        <v>-330.271</v>
      </c>
      <c r="I16" s="16">
        <v>330.299</v>
      </c>
      <c r="J16" s="16">
        <v>-52.7</v>
      </c>
      <c r="K16" s="16">
        <f>F16+G16+D16+E16</f>
        <v>0.1</v>
      </c>
      <c r="L16" s="16">
        <f>AVERAGE(K13:K16)</f>
        <v>-321.215</v>
      </c>
      <c r="M16" s="19"/>
      <c r="N16" s="16">
        <f>-(H16+I16)+N15</f>
        <v>-3044.878</v>
      </c>
      <c r="O16" s="19"/>
      <c r="P16" s="29">
        <f>1+P15</f>
        <v>12</v>
      </c>
    </row>
    <row r="17" ht="20.05" customHeight="1">
      <c r="B17" s="27"/>
      <c r="C17" s="15">
        <f>2007.9-C16</f>
        <v>1032.8</v>
      </c>
      <c r="D17" s="16">
        <f>749.8-D16</f>
        <v>424.1</v>
      </c>
      <c r="E17" s="16">
        <f>-479.1-E16</f>
        <v>-206.2</v>
      </c>
      <c r="F17" s="16">
        <f>-39.2-F16</f>
        <v>7.3</v>
      </c>
      <c r="G17" s="16">
        <f>-7.1-G16</f>
        <v>-0.9</v>
      </c>
      <c r="H17" s="16">
        <f>-445-H16</f>
        <v>-114.729</v>
      </c>
      <c r="I17" s="16">
        <f>172.952-I16</f>
        <v>-157.347</v>
      </c>
      <c r="J17" s="16">
        <f>-319.5-J16</f>
        <v>-266.8</v>
      </c>
      <c r="K17" s="16">
        <f>F17+G17+D17+E17</f>
        <v>224.3</v>
      </c>
      <c r="L17" s="16">
        <f>AVERAGE(K14:K17)</f>
        <v>-306.7825</v>
      </c>
      <c r="M17" s="19"/>
      <c r="N17" s="16">
        <f>-(H17+I17)+N16</f>
        <v>-2772.802</v>
      </c>
      <c r="O17" s="19"/>
      <c r="P17" s="29">
        <f>1+P16</f>
        <v>13</v>
      </c>
    </row>
    <row r="18" ht="20.05" customHeight="1">
      <c r="B18" s="27"/>
      <c r="C18" s="15">
        <f>2921.3-SUM(C16:C17)</f>
        <v>913.4</v>
      </c>
      <c r="D18" s="16">
        <f>1130.4-SUM(D16:D17)</f>
        <v>380.6</v>
      </c>
      <c r="E18" s="16">
        <f>-962.6-SUM(E16:E17)</f>
        <v>-483.5</v>
      </c>
      <c r="F18" s="16">
        <f>-80.4-SUM(F16:F17)</f>
        <v>-41.2</v>
      </c>
      <c r="G18" s="16">
        <f>-7.2-SUM(G16:G17)</f>
        <v>-0.1</v>
      </c>
      <c r="H18" s="16">
        <f>-525-H17-H16</f>
        <v>-80</v>
      </c>
      <c r="I18" s="16">
        <f>449.863-I17-I16</f>
        <v>276.911</v>
      </c>
      <c r="J18" s="16">
        <f>-148.4-SUM(J16:J17)</f>
        <v>171.1</v>
      </c>
      <c r="K18" s="16">
        <f>F18+G18+D18+E18</f>
        <v>-144.2</v>
      </c>
      <c r="L18" s="16">
        <f>AVERAGE(K15:K18)</f>
        <v>-318.0775</v>
      </c>
      <c r="M18" s="19"/>
      <c r="N18" s="16">
        <f>-(H18+I18)+N17</f>
        <v>-2969.713</v>
      </c>
      <c r="O18" s="19"/>
      <c r="P18" s="29">
        <f>1+P17</f>
        <v>14</v>
      </c>
    </row>
    <row r="19" ht="20.05" customHeight="1">
      <c r="B19" s="27"/>
      <c r="C19" s="15">
        <f>3667.4-SUM(C16:C18)</f>
        <v>746.1</v>
      </c>
      <c r="D19" s="16">
        <f>1014.8-SUM(D16:D18)</f>
        <v>-115.6</v>
      </c>
      <c r="E19" s="16">
        <f>-1117.7-SUM(E16:E18)</f>
        <v>-155.1</v>
      </c>
      <c r="F19" s="16">
        <f>-217.9-SUM(F16:F18)</f>
        <v>-137.5</v>
      </c>
      <c r="G19" s="16">
        <f>-6.7-SUM(G16:G18)</f>
        <v>0.5</v>
      </c>
      <c r="H19" s="16">
        <f>200-404-H18-H17-H16</f>
        <v>321</v>
      </c>
      <c r="I19" s="16">
        <f>456.5-SUM(I16:I18)</f>
        <v>6.637</v>
      </c>
      <c r="J19" s="16">
        <f>50-SUM(J16:J18)</f>
        <v>198.4</v>
      </c>
      <c r="K19" s="16">
        <f>F19+G19+D19+E19</f>
        <v>-407.7</v>
      </c>
      <c r="L19" s="16">
        <f>AVERAGE(K16:K19)</f>
        <v>-81.875</v>
      </c>
      <c r="M19" s="19"/>
      <c r="N19" s="16">
        <f>-(H19+I19)+N18</f>
        <v>-3297.35</v>
      </c>
      <c r="O19" s="19"/>
      <c r="P19" s="29">
        <f>1+P18</f>
        <v>15</v>
      </c>
    </row>
    <row r="20" ht="20.05" customHeight="1">
      <c r="B20" s="30">
        <v>2022</v>
      </c>
      <c r="C20" s="15">
        <v>734.4</v>
      </c>
      <c r="D20" s="16">
        <v>255.9</v>
      </c>
      <c r="E20" s="16">
        <v>-139.1</v>
      </c>
      <c r="F20" s="16">
        <v>-26.2</v>
      </c>
      <c r="G20" s="16">
        <v>-0.4</v>
      </c>
      <c r="H20" s="16">
        <v>-63.7</v>
      </c>
      <c r="I20" s="16">
        <v>0</v>
      </c>
      <c r="J20" s="16">
        <v>-90.2</v>
      </c>
      <c r="K20" s="16">
        <f>F20+G20+D20+E20</f>
        <v>90.2</v>
      </c>
      <c r="L20" s="16">
        <f>AVERAGE(K17:K20)</f>
        <v>-59.35</v>
      </c>
      <c r="M20" s="16">
        <v>98.85715899874501</v>
      </c>
      <c r="N20" s="16">
        <f>-(H20+I20)+N19</f>
        <v>-3233.65</v>
      </c>
      <c r="O20" s="16">
        <v>-2875.709941791220</v>
      </c>
      <c r="P20" s="29">
        <f>1+P19</f>
        <v>16</v>
      </c>
    </row>
    <row r="21" ht="20.05" customHeight="1">
      <c r="B21" s="27"/>
      <c r="C21" s="15"/>
      <c r="D21" s="16"/>
      <c r="E21" s="16"/>
      <c r="F21" s="16"/>
      <c r="G21" s="16"/>
      <c r="H21" s="16"/>
      <c r="I21" s="16"/>
      <c r="J21" s="16"/>
      <c r="K21" s="19"/>
      <c r="L21" s="19"/>
      <c r="M21" s="16">
        <f>SUM('Model'!F9:F10)</f>
        <v>147.378687968925</v>
      </c>
      <c r="N21" s="19"/>
      <c r="O21" s="16">
        <f>'Model'!F33</f>
        <v>-2689.2680721301</v>
      </c>
      <c r="P21" s="19"/>
    </row>
  </sheetData>
  <mergeCells count="1">
    <mergeCell ref="B2:P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4219" style="34" customWidth="1"/>
    <col min="2" max="2" width="7.75" style="34" customWidth="1"/>
    <col min="3" max="11" width="8.90625" style="34" customWidth="1"/>
    <col min="12" max="16384" width="16.3516" style="34" customWidth="1"/>
  </cols>
  <sheetData>
    <row r="1" ht="28.2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53</v>
      </c>
      <c r="D3" t="s" s="5">
        <v>54</v>
      </c>
      <c r="E3" t="s" s="5">
        <v>23</v>
      </c>
      <c r="F3" t="s" s="5">
        <v>24</v>
      </c>
      <c r="G3" t="s" s="5">
        <v>11</v>
      </c>
      <c r="H3" t="s" s="5">
        <v>26</v>
      </c>
      <c r="I3" t="s" s="5">
        <v>55</v>
      </c>
      <c r="J3" t="s" s="5">
        <v>28</v>
      </c>
      <c r="K3" t="s" s="5">
        <v>36</v>
      </c>
    </row>
    <row r="4" ht="20.25" customHeight="1">
      <c r="B4" s="24">
        <v>2019</v>
      </c>
      <c r="C4" s="35">
        <v>0</v>
      </c>
      <c r="D4" s="36">
        <v>0</v>
      </c>
      <c r="E4" s="36">
        <v>0</v>
      </c>
      <c r="F4" s="36">
        <v>0</v>
      </c>
      <c r="G4" s="36"/>
      <c r="H4" s="36"/>
      <c r="I4" s="36"/>
      <c r="J4" s="36"/>
      <c r="K4" s="36"/>
    </row>
    <row r="5" ht="20.05" customHeight="1">
      <c r="B5" s="27"/>
      <c r="C5" s="15">
        <v>17</v>
      </c>
      <c r="D5" s="16">
        <v>9220</v>
      </c>
      <c r="E5" s="16">
        <f>D5-C5</f>
        <v>9203</v>
      </c>
      <c r="F5" s="16">
        <v>5073</v>
      </c>
      <c r="G5" s="16">
        <v>5084</v>
      </c>
      <c r="H5" s="16">
        <v>4136</v>
      </c>
      <c r="I5" s="16">
        <f>G5+H5-C5-E5</f>
        <v>0</v>
      </c>
      <c r="J5" s="16">
        <f>C5-G5</f>
        <v>-5067</v>
      </c>
      <c r="K5" s="16"/>
    </row>
    <row r="6" ht="20.05" customHeight="1">
      <c r="B6" s="27"/>
      <c r="C6" s="15">
        <v>330</v>
      </c>
      <c r="D6" s="16">
        <v>10169</v>
      </c>
      <c r="E6" s="16">
        <f>D6-C6</f>
        <v>9839</v>
      </c>
      <c r="F6" s="16">
        <v>5317</v>
      </c>
      <c r="G6" s="16">
        <v>4634</v>
      </c>
      <c r="H6" s="16">
        <v>5535</v>
      </c>
      <c r="I6" s="16">
        <f>G6+H6-C6-E6</f>
        <v>0</v>
      </c>
      <c r="J6" s="16">
        <f>C6-G6</f>
        <v>-4304</v>
      </c>
      <c r="K6" s="16"/>
    </row>
    <row r="7" ht="20.05" customHeight="1">
      <c r="B7" s="27"/>
      <c r="C7" s="15">
        <v>84</v>
      </c>
      <c r="D7" s="16">
        <v>10222</v>
      </c>
      <c r="E7" s="16">
        <f>D7-C7</f>
        <v>10138</v>
      </c>
      <c r="F7" s="16">
        <v>5582</v>
      </c>
      <c r="G7" s="16">
        <v>4551</v>
      </c>
      <c r="H7" s="16">
        <v>5671</v>
      </c>
      <c r="I7" s="16">
        <f>G7+H7-C7-E7</f>
        <v>0</v>
      </c>
      <c r="J7" s="16">
        <f>C7-G7</f>
        <v>-4467</v>
      </c>
      <c r="K7" s="16"/>
    </row>
    <row r="8" ht="20.05" customHeight="1">
      <c r="B8" s="30">
        <v>2020</v>
      </c>
      <c r="C8" s="15">
        <v>68</v>
      </c>
      <c r="D8" s="16">
        <v>10215</v>
      </c>
      <c r="E8" s="16">
        <f>D8-C8</f>
        <v>10147</v>
      </c>
      <c r="F8" s="16">
        <v>5820</v>
      </c>
      <c r="G8" s="16">
        <v>4347</v>
      </c>
      <c r="H8" s="16">
        <v>5868</v>
      </c>
      <c r="I8" s="16">
        <f>G8+H8-C8-E8</f>
        <v>0</v>
      </c>
      <c r="J8" s="16">
        <f>C8-G8</f>
        <v>-4279</v>
      </c>
      <c r="K8" s="16"/>
    </row>
    <row r="9" ht="20.05" customHeight="1">
      <c r="B9" s="27"/>
      <c r="C9" s="15">
        <v>49</v>
      </c>
      <c r="D9" s="16">
        <v>10145</v>
      </c>
      <c r="E9" s="16">
        <f>D9-C9</f>
        <v>10096</v>
      </c>
      <c r="F9" s="16">
        <v>6095</v>
      </c>
      <c r="G9" s="16">
        <v>3833</v>
      </c>
      <c r="H9" s="16">
        <v>6312</v>
      </c>
      <c r="I9" s="16">
        <f>G9+H9-C9-E9</f>
        <v>0</v>
      </c>
      <c r="J9" s="16">
        <f>C9-G9</f>
        <v>-3784</v>
      </c>
      <c r="K9" s="16"/>
    </row>
    <row r="10" ht="20.05" customHeight="1">
      <c r="B10" s="27"/>
      <c r="C10" s="15">
        <v>57</v>
      </c>
      <c r="D10" s="16">
        <v>10118</v>
      </c>
      <c r="E10" s="16">
        <f>D10-C10</f>
        <v>10061</v>
      </c>
      <c r="F10" s="16">
        <f>6289</f>
        <v>6289</v>
      </c>
      <c r="G10" s="16">
        <v>3401</v>
      </c>
      <c r="H10" s="16">
        <v>6717</v>
      </c>
      <c r="I10" s="16">
        <f>G10+H10-C10-E10</f>
        <v>0</v>
      </c>
      <c r="J10" s="16">
        <f>C10-G10</f>
        <v>-3344</v>
      </c>
      <c r="K10" s="16"/>
    </row>
    <row r="11" ht="20.05" customHeight="1">
      <c r="B11" s="27"/>
      <c r="C11" s="15">
        <v>81</v>
      </c>
      <c r="D11" s="16">
        <v>11065</v>
      </c>
      <c r="E11" s="16">
        <f>D11-C11</f>
        <v>10984</v>
      </c>
      <c r="F11" s="16">
        <f>6455</f>
        <v>6455</v>
      </c>
      <c r="G11" s="16">
        <v>3761</v>
      </c>
      <c r="H11" s="16">
        <v>7304</v>
      </c>
      <c r="I11" s="16">
        <f>G11+H11-C11-E11</f>
        <v>0</v>
      </c>
      <c r="J11" s="16">
        <f>C11-G11</f>
        <v>-3680</v>
      </c>
      <c r="K11" s="16"/>
    </row>
    <row r="12" ht="20.05" customHeight="1">
      <c r="B12" s="30">
        <v>2021</v>
      </c>
      <c r="C12" s="15">
        <v>81</v>
      </c>
      <c r="D12" s="16">
        <v>11186</v>
      </c>
      <c r="E12" s="16">
        <f>D12-C12</f>
        <v>11105</v>
      </c>
      <c r="F12" s="16">
        <f>F11+'Sales'!E16</f>
        <v>6693.8</v>
      </c>
      <c r="G12" s="16">
        <v>3804</v>
      </c>
      <c r="H12" s="16">
        <v>7382</v>
      </c>
      <c r="I12" s="16">
        <f>G12+H12-C12-E12</f>
        <v>0</v>
      </c>
      <c r="J12" s="16">
        <f>C12-G12</f>
        <v>-3723</v>
      </c>
      <c r="K12" s="16"/>
    </row>
    <row r="13" ht="20.05" customHeight="1">
      <c r="B13" s="27"/>
      <c r="C13" s="15">
        <v>32</v>
      </c>
      <c r="D13" s="16">
        <v>11272</v>
      </c>
      <c r="E13" s="16">
        <f>D13-C13</f>
        <v>11240</v>
      </c>
      <c r="F13" s="16">
        <v>6932</v>
      </c>
      <c r="G13" s="16">
        <v>3626</v>
      </c>
      <c r="H13" s="16">
        <v>7646</v>
      </c>
      <c r="I13" s="16">
        <f>G13+H13-C13-E13</f>
        <v>0</v>
      </c>
      <c r="J13" s="16">
        <f>C13-G13</f>
        <v>-3594</v>
      </c>
      <c r="K13" s="16">
        <f>J13</f>
        <v>-3594</v>
      </c>
    </row>
    <row r="14" ht="20.05" customHeight="1">
      <c r="B14" s="27"/>
      <c r="C14" s="15">
        <v>101</v>
      </c>
      <c r="D14" s="16">
        <v>11674</v>
      </c>
      <c r="E14" s="16">
        <f>D14-C14</f>
        <v>11573</v>
      </c>
      <c r="F14" s="16">
        <f>7120</f>
        <v>7120</v>
      </c>
      <c r="G14" s="16">
        <v>3658</v>
      </c>
      <c r="H14" s="16">
        <v>8016</v>
      </c>
      <c r="I14" s="16">
        <f>G14+H14-C14-E14</f>
        <v>0</v>
      </c>
      <c r="J14" s="16">
        <f>C14-G14</f>
        <v>-3557</v>
      </c>
      <c r="K14" s="16">
        <f>J14</f>
        <v>-3557</v>
      </c>
    </row>
    <row r="15" ht="20.05" customHeight="1">
      <c r="B15" s="27"/>
      <c r="C15" s="15">
        <v>28</v>
      </c>
      <c r="D15" s="16">
        <v>12316</v>
      </c>
      <c r="E15" s="16">
        <f>D15-C15</f>
        <v>12288</v>
      </c>
      <c r="F15" s="16">
        <v>7329</v>
      </c>
      <c r="G15" s="16">
        <v>4177</v>
      </c>
      <c r="H15" s="16">
        <v>8139</v>
      </c>
      <c r="I15" s="16">
        <f>G15+H15-C15-E15</f>
        <v>0</v>
      </c>
      <c r="J15" s="16">
        <f>C15-G15</f>
        <v>-4149</v>
      </c>
      <c r="K15" s="16">
        <f>J15</f>
        <v>-4149</v>
      </c>
    </row>
    <row r="16" ht="20.05" customHeight="1">
      <c r="B16" s="30">
        <v>2022</v>
      </c>
      <c r="C16" s="15">
        <v>55</v>
      </c>
      <c r="D16" s="16">
        <v>11349</v>
      </c>
      <c r="E16" s="16">
        <f>D16-C16</f>
        <v>11294</v>
      </c>
      <c r="F16" s="16">
        <v>7390</v>
      </c>
      <c r="G16" s="16">
        <v>3379</v>
      </c>
      <c r="H16" s="16">
        <v>7970</v>
      </c>
      <c r="I16" s="16">
        <f>G16+H16-C16-E16</f>
        <v>0</v>
      </c>
      <c r="J16" s="16">
        <f>C16-G16</f>
        <v>-3324</v>
      </c>
      <c r="K16" s="16">
        <f>J16</f>
        <v>-3324</v>
      </c>
    </row>
    <row r="17" ht="20.05" customHeight="1">
      <c r="B17" s="27"/>
      <c r="C17" s="15"/>
      <c r="D17" s="16"/>
      <c r="E17" s="16"/>
      <c r="F17" s="16"/>
      <c r="G17" s="16"/>
      <c r="H17" s="16"/>
      <c r="I17" s="16"/>
      <c r="J17" s="16"/>
      <c r="K17" s="16">
        <f>'Model'!F31</f>
        <v>-2779.618072130090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1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3281" style="37" customWidth="1"/>
    <col min="2" max="2" width="7.78125" style="37" customWidth="1"/>
    <col min="3" max="3" width="8.10156" style="37" customWidth="1"/>
    <col min="4" max="4" width="10.0625" style="37" customWidth="1"/>
    <col min="5" max="16384" width="16.3516" style="37" customWidth="1"/>
  </cols>
  <sheetData>
    <row r="1" ht="52" customHeight="1"/>
    <row r="2" ht="27.65" customHeight="1">
      <c r="B2" t="s" s="2">
        <v>56</v>
      </c>
      <c r="C2" s="2"/>
      <c r="D2" s="2"/>
    </row>
    <row r="3" ht="20.25" customHeight="1">
      <c r="B3" s="38"/>
      <c r="C3" t="s" s="3">
        <v>57</v>
      </c>
      <c r="D3" t="s" s="3">
        <v>58</v>
      </c>
    </row>
    <row r="4" ht="20.25" customHeight="1">
      <c r="B4" s="39">
        <v>2019</v>
      </c>
      <c r="C4" s="40"/>
      <c r="D4" s="8"/>
    </row>
    <row r="5" ht="20.05" customHeight="1">
      <c r="B5" s="41"/>
      <c r="C5" s="42"/>
      <c r="D5" s="19"/>
    </row>
    <row r="6" ht="20.05" customHeight="1">
      <c r="B6" s="41"/>
      <c r="C6" s="42">
        <v>525</v>
      </c>
      <c r="D6" s="31"/>
    </row>
    <row r="7" ht="20.05" customHeight="1">
      <c r="B7" s="41"/>
      <c r="C7" s="42">
        <v>505</v>
      </c>
      <c r="D7" s="31"/>
    </row>
    <row r="8" ht="20.05" customHeight="1">
      <c r="B8" s="39">
        <v>2020</v>
      </c>
      <c r="C8" s="42">
        <v>394</v>
      </c>
      <c r="D8" s="31"/>
    </row>
    <row r="9" ht="20.05" customHeight="1">
      <c r="B9" s="41"/>
      <c r="C9" s="43">
        <v>376</v>
      </c>
      <c r="D9" s="19"/>
    </row>
    <row r="10" ht="20.05" customHeight="1">
      <c r="B10" s="41"/>
      <c r="C10" s="43">
        <v>284</v>
      </c>
      <c r="D10" s="19"/>
    </row>
    <row r="11" ht="20.05" customHeight="1">
      <c r="B11" s="41"/>
      <c r="C11" s="43">
        <v>296</v>
      </c>
      <c r="D11" s="19"/>
    </row>
    <row r="12" ht="20.05" customHeight="1">
      <c r="B12" s="39">
        <v>2021</v>
      </c>
      <c r="C12" s="42">
        <v>246</v>
      </c>
      <c r="D12" s="19"/>
    </row>
    <row r="13" ht="20.05" customHeight="1">
      <c r="B13" s="41"/>
      <c r="C13" s="42">
        <v>262</v>
      </c>
      <c r="D13" s="19"/>
    </row>
    <row r="14" ht="20.05" customHeight="1">
      <c r="B14" s="41"/>
      <c r="C14" s="42">
        <v>238</v>
      </c>
      <c r="D14" s="19"/>
    </row>
    <row r="15" ht="20.05" customHeight="1">
      <c r="B15" s="41"/>
      <c r="C15" s="42">
        <v>168</v>
      </c>
      <c r="D15" s="29">
        <v>200.626111692517</v>
      </c>
    </row>
    <row r="16" ht="20.05" customHeight="1">
      <c r="B16" s="39">
        <v>2022</v>
      </c>
      <c r="C16" s="42">
        <v>133</v>
      </c>
      <c r="D16" s="29">
        <v>200.626111692517</v>
      </c>
    </row>
    <row r="17" ht="20.05" customHeight="1">
      <c r="B17" s="41"/>
      <c r="C17" s="42">
        <v>122</v>
      </c>
      <c r="D17" s="29">
        <v>114.375633768631</v>
      </c>
    </row>
    <row r="18" ht="20.05" customHeight="1">
      <c r="B18" s="41"/>
      <c r="C18" s="42"/>
      <c r="D18" s="29">
        <f>'Model'!F44</f>
        <v>141.907232439062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3:U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0938" style="44" customWidth="1"/>
    <col min="2" max="21" width="13.6953" style="44" customWidth="1"/>
    <col min="22" max="16384" width="16.3516" style="44" customWidth="1"/>
  </cols>
  <sheetData>
    <row r="1" ht="7.65" customHeight="1"/>
    <row r="2" ht="27.65" customHeight="1">
      <c r="B2" t="s" s="2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0.25" customHeight="1">
      <c r="B3" t="s" s="5">
        <v>1</v>
      </c>
      <c r="C3" t="s" s="5">
        <v>47</v>
      </c>
      <c r="D3" t="s" s="5">
        <v>8</v>
      </c>
      <c r="E3" t="s" s="5">
        <v>49</v>
      </c>
      <c r="F3" t="s" s="5">
        <v>59</v>
      </c>
      <c r="G3" t="s" s="5">
        <v>60</v>
      </c>
      <c r="H3" t="s" s="5">
        <v>9</v>
      </c>
      <c r="I3" t="s" s="5">
        <v>11</v>
      </c>
      <c r="J3" t="s" s="5">
        <v>26</v>
      </c>
      <c r="K3" t="s" s="5">
        <v>61</v>
      </c>
      <c r="L3" s="33"/>
      <c r="M3" s="33"/>
      <c r="N3" s="33"/>
      <c r="O3" t="s" s="5">
        <v>3</v>
      </c>
      <c r="P3" t="s" s="5">
        <v>11</v>
      </c>
      <c r="Q3" t="s" s="5">
        <v>26</v>
      </c>
      <c r="R3" t="s" s="5">
        <v>62</v>
      </c>
      <c r="S3" s="4"/>
      <c r="T3" s="4"/>
      <c r="U3" s="4"/>
    </row>
    <row r="4" ht="20.25" customHeight="1">
      <c r="B4" s="24">
        <v>2005</v>
      </c>
      <c r="C4" s="35"/>
      <c r="D4" s="36"/>
      <c r="E4" s="36"/>
      <c r="F4" s="36"/>
      <c r="G4" s="36"/>
      <c r="H4" s="36"/>
      <c r="I4" s="36"/>
      <c r="J4" s="36"/>
      <c r="K4" s="36">
        <f>I4+J4</f>
        <v>0</v>
      </c>
      <c r="L4" s="36"/>
      <c r="M4" s="36"/>
      <c r="N4" s="36"/>
      <c r="O4" s="36"/>
      <c r="P4" s="36">
        <f>-I4</f>
        <v>0</v>
      </c>
      <c r="Q4" s="36">
        <f>-J4</f>
        <v>0</v>
      </c>
      <c r="R4" s="36">
        <f>-K4</f>
        <v>0</v>
      </c>
      <c r="S4" s="8"/>
      <c r="T4" s="8"/>
      <c r="U4" s="8"/>
    </row>
    <row r="5" ht="20.05" customHeight="1">
      <c r="B5" s="30">
        <f>1+$B4</f>
        <v>2006</v>
      </c>
      <c r="C5" s="15"/>
      <c r="D5" s="16"/>
      <c r="E5" s="16"/>
      <c r="F5" s="16"/>
      <c r="G5" s="16"/>
      <c r="H5" s="16"/>
      <c r="I5" s="16"/>
      <c r="J5" s="16"/>
      <c r="K5" s="16">
        <f>I5+J5</f>
        <v>0</v>
      </c>
      <c r="L5" s="16"/>
      <c r="M5" s="16"/>
      <c r="N5" s="16"/>
      <c r="O5" s="16"/>
      <c r="P5" s="16">
        <f>-I5+P4</f>
        <v>0</v>
      </c>
      <c r="Q5" s="16">
        <f>-J5+Q4</f>
        <v>0</v>
      </c>
      <c r="R5" s="16">
        <f>-K5+R4</f>
        <v>0</v>
      </c>
      <c r="S5" s="19"/>
      <c r="T5" s="19"/>
      <c r="U5" s="19"/>
    </row>
    <row r="6" ht="20.05" customHeight="1">
      <c r="B6" s="30">
        <f>1+$B5</f>
        <v>2007</v>
      </c>
      <c r="C6" s="15"/>
      <c r="D6" s="16"/>
      <c r="E6" s="16"/>
      <c r="F6" s="16"/>
      <c r="G6" s="16"/>
      <c r="H6" s="16"/>
      <c r="I6" s="16"/>
      <c r="J6" s="16"/>
      <c r="K6" s="16">
        <f>I6+J6</f>
        <v>0</v>
      </c>
      <c r="L6" s="16"/>
      <c r="M6" s="16"/>
      <c r="N6" s="16"/>
      <c r="O6" s="16"/>
      <c r="P6" s="16">
        <f>-I6+P5</f>
        <v>0</v>
      </c>
      <c r="Q6" s="16">
        <f>-J6+Q5</f>
        <v>0</v>
      </c>
      <c r="R6" s="16">
        <f>-K6+R5</f>
        <v>0</v>
      </c>
      <c r="S6" s="19"/>
      <c r="T6" s="19"/>
      <c r="U6" s="19"/>
    </row>
    <row r="7" ht="20.05" customHeight="1">
      <c r="B7" s="30">
        <f>1+$B6</f>
        <v>2008</v>
      </c>
      <c r="C7" s="15"/>
      <c r="D7" s="16"/>
      <c r="E7" s="16"/>
      <c r="F7" s="16"/>
      <c r="G7" s="16"/>
      <c r="H7" s="16"/>
      <c r="I7" s="16"/>
      <c r="J7" s="16"/>
      <c r="K7" s="16">
        <f>I7+J7</f>
        <v>0</v>
      </c>
      <c r="L7" s="16"/>
      <c r="M7" s="16"/>
      <c r="N7" s="16"/>
      <c r="O7" s="16"/>
      <c r="P7" s="16">
        <f>-I7+P6</f>
        <v>0</v>
      </c>
      <c r="Q7" s="16">
        <f>-J7+Q6</f>
        <v>0</v>
      </c>
      <c r="R7" s="16">
        <f>-K7+R6</f>
        <v>0</v>
      </c>
      <c r="S7" s="19"/>
      <c r="T7" s="19"/>
      <c r="U7" s="19"/>
    </row>
    <row r="8" ht="20.05" customHeight="1">
      <c r="B8" s="30">
        <f>1+$B7</f>
        <v>2009</v>
      </c>
      <c r="C8" s="15"/>
      <c r="D8" s="16"/>
      <c r="E8" s="16"/>
      <c r="F8" s="16"/>
      <c r="G8" s="16"/>
      <c r="H8" s="16"/>
      <c r="I8" s="16"/>
      <c r="J8" s="16"/>
      <c r="K8" s="16">
        <f>I8+J8</f>
        <v>0</v>
      </c>
      <c r="L8" s="16"/>
      <c r="M8" s="16"/>
      <c r="N8" s="16"/>
      <c r="O8" s="16"/>
      <c r="P8" s="16">
        <f>-I8+P7</f>
        <v>0</v>
      </c>
      <c r="Q8" s="16">
        <f>-J8+Q7</f>
        <v>0</v>
      </c>
      <c r="R8" s="16">
        <f>-K8+R7</f>
        <v>0</v>
      </c>
      <c r="S8" s="19"/>
      <c r="T8" s="19"/>
      <c r="U8" s="19"/>
    </row>
    <row r="9" ht="20.05" customHeight="1">
      <c r="B9" s="30">
        <f>1+$B8</f>
        <v>2010</v>
      </c>
      <c r="C9" s="15"/>
      <c r="D9" s="16"/>
      <c r="E9" s="16"/>
      <c r="F9" s="16"/>
      <c r="G9" s="16"/>
      <c r="H9" s="16"/>
      <c r="I9" s="16"/>
      <c r="J9" s="16"/>
      <c r="K9" s="16">
        <f>I9+J9</f>
        <v>0</v>
      </c>
      <c r="L9" s="16"/>
      <c r="M9" s="16"/>
      <c r="N9" s="16"/>
      <c r="O9" s="16"/>
      <c r="P9" s="16">
        <f>-I9+P8</f>
        <v>0</v>
      </c>
      <c r="Q9" s="16">
        <f>-J9+Q8</f>
        <v>0</v>
      </c>
      <c r="R9" s="16">
        <f>-K9+R8</f>
        <v>0</v>
      </c>
      <c r="S9" s="19"/>
      <c r="T9" s="19"/>
      <c r="U9" s="19"/>
    </row>
    <row r="10" ht="20.05" customHeight="1">
      <c r="B10" s="30">
        <f>1+$B9</f>
        <v>2011</v>
      </c>
      <c r="C10" s="15"/>
      <c r="D10" s="16"/>
      <c r="E10" s="16"/>
      <c r="F10" s="16"/>
      <c r="G10" s="16"/>
      <c r="H10" s="16"/>
      <c r="I10" s="16"/>
      <c r="J10" s="16"/>
      <c r="K10" s="16">
        <f>I10+J10</f>
        <v>0</v>
      </c>
      <c r="L10" s="16"/>
      <c r="M10" s="16"/>
      <c r="N10" s="16"/>
      <c r="O10" s="16"/>
      <c r="P10" s="16">
        <f>-I10+P9</f>
        <v>0</v>
      </c>
      <c r="Q10" s="16">
        <f>-J10+Q9</f>
        <v>0</v>
      </c>
      <c r="R10" s="16">
        <f>-K10+R9</f>
        <v>0</v>
      </c>
      <c r="S10" s="19"/>
      <c r="T10" s="19"/>
      <c r="U10" s="19"/>
    </row>
    <row r="11" ht="20.05" customHeight="1">
      <c r="B11" s="30">
        <f>1+$B10</f>
        <v>2012</v>
      </c>
      <c r="C11" s="15"/>
      <c r="D11" s="16"/>
      <c r="E11" s="16"/>
      <c r="F11" s="16"/>
      <c r="G11" s="16"/>
      <c r="H11" s="16"/>
      <c r="I11" s="16"/>
      <c r="J11" s="16"/>
      <c r="K11" s="16">
        <f>I11+J11</f>
        <v>0</v>
      </c>
      <c r="L11" s="16"/>
      <c r="M11" s="16"/>
      <c r="N11" s="16"/>
      <c r="O11" s="16"/>
      <c r="P11" s="16">
        <f>-I11+P10</f>
        <v>0</v>
      </c>
      <c r="Q11" s="16">
        <f>-J11+Q10</f>
        <v>0</v>
      </c>
      <c r="R11" s="16">
        <f>-K11+R10</f>
        <v>0</v>
      </c>
      <c r="S11" s="19"/>
      <c r="T11" s="19"/>
      <c r="U11" s="19"/>
    </row>
    <row r="12" ht="20.05" customHeight="1">
      <c r="B12" s="30">
        <f>1+$B11</f>
        <v>2013</v>
      </c>
      <c r="C12" s="15"/>
      <c r="D12" s="16"/>
      <c r="E12" s="16"/>
      <c r="F12" s="16"/>
      <c r="G12" s="16"/>
      <c r="H12" s="16"/>
      <c r="I12" s="16"/>
      <c r="J12" s="16"/>
      <c r="K12" s="16">
        <f>I12+J12</f>
        <v>0</v>
      </c>
      <c r="L12" s="16"/>
      <c r="M12" s="16"/>
      <c r="N12" s="16"/>
      <c r="O12" s="16"/>
      <c r="P12" s="16">
        <f>-I12+P11</f>
        <v>0</v>
      </c>
      <c r="Q12" s="16">
        <f>-J12+Q11</f>
        <v>0</v>
      </c>
      <c r="R12" s="16">
        <f>-K12+R11</f>
        <v>0</v>
      </c>
      <c r="S12" s="19"/>
      <c r="T12" s="19"/>
      <c r="U12" s="19"/>
    </row>
    <row r="13" ht="20.05" customHeight="1">
      <c r="B13" s="30">
        <f>1+$B12</f>
        <v>2014</v>
      </c>
      <c r="C13" s="15"/>
      <c r="D13" s="16"/>
      <c r="E13" s="16"/>
      <c r="F13" s="16"/>
      <c r="G13" s="16"/>
      <c r="H13" s="16"/>
      <c r="I13" s="16"/>
      <c r="J13" s="16"/>
      <c r="K13" s="16">
        <f>I13+J13</f>
        <v>0</v>
      </c>
      <c r="L13" s="16"/>
      <c r="M13" s="16"/>
      <c r="N13" s="16"/>
      <c r="O13" s="16"/>
      <c r="P13" s="16">
        <f>-I13+P12</f>
        <v>0</v>
      </c>
      <c r="Q13" s="16">
        <f>-J13+Q12</f>
        <v>0</v>
      </c>
      <c r="R13" s="16">
        <f>-K13+R12</f>
        <v>0</v>
      </c>
      <c r="S13" s="19"/>
      <c r="T13" s="19"/>
      <c r="U13" s="19"/>
    </row>
    <row r="14" ht="20.05" customHeight="1">
      <c r="B14" s="30">
        <f>1+$B13</f>
        <v>2015</v>
      </c>
      <c r="C14" s="15"/>
      <c r="D14" s="16"/>
      <c r="E14" s="16"/>
      <c r="F14" s="16"/>
      <c r="G14" s="16"/>
      <c r="H14" s="16"/>
      <c r="I14" s="16"/>
      <c r="J14" s="16"/>
      <c r="K14" s="16">
        <f>I14+J14</f>
        <v>0</v>
      </c>
      <c r="L14" s="16"/>
      <c r="M14" s="16"/>
      <c r="N14" s="16"/>
      <c r="O14" s="16"/>
      <c r="P14" s="16">
        <f>-I14+P13</f>
        <v>0</v>
      </c>
      <c r="Q14" s="16">
        <f>-J14+Q13</f>
        <v>0</v>
      </c>
      <c r="R14" s="16">
        <f>-K14+R13</f>
        <v>0</v>
      </c>
      <c r="S14" s="19"/>
      <c r="T14" s="19"/>
      <c r="U14" s="19"/>
    </row>
    <row r="15" ht="20.05" customHeight="1">
      <c r="B15" s="30">
        <f>1+$B14</f>
        <v>2016</v>
      </c>
      <c r="C15" s="15">
        <v>3062</v>
      </c>
      <c r="D15" s="16">
        <v>725</v>
      </c>
      <c r="E15" s="16">
        <v>-175</v>
      </c>
      <c r="F15" s="16">
        <v>-6</v>
      </c>
      <c r="G15" s="16">
        <v>-102</v>
      </c>
      <c r="H15" s="16">
        <v>-944</v>
      </c>
      <c r="I15" s="16">
        <v>-894</v>
      </c>
      <c r="J15" s="16">
        <v>1426</v>
      </c>
      <c r="K15" s="16">
        <f>I15+J15</f>
        <v>532</v>
      </c>
      <c r="L15" s="16">
        <v>50</v>
      </c>
      <c r="M15" s="16">
        <f>D15+E15+F15+G15+H15+I15+J15</f>
        <v>30</v>
      </c>
      <c r="N15" s="16">
        <f>L15+M15</f>
        <v>80</v>
      </c>
      <c r="O15" s="16">
        <f>D15+E15+F15+G15+H15</f>
        <v>-502</v>
      </c>
      <c r="P15" s="16">
        <f>-I15+P14</f>
        <v>894</v>
      </c>
      <c r="Q15" s="16">
        <f>-J15+Q14</f>
        <v>-1426</v>
      </c>
      <c r="R15" s="16">
        <f>-K15+R14</f>
        <v>-532</v>
      </c>
      <c r="S15" s="19"/>
      <c r="T15" s="19"/>
      <c r="U15" s="19"/>
    </row>
    <row r="16" ht="20.05" customHeight="1">
      <c r="B16" s="30">
        <f>1+$B15</f>
        <v>2017</v>
      </c>
      <c r="C16" s="15">
        <v>3106</v>
      </c>
      <c r="D16" s="16">
        <v>969</v>
      </c>
      <c r="E16" s="16">
        <v>-142</v>
      </c>
      <c r="F16" s="16">
        <v>-3</v>
      </c>
      <c r="G16" s="16">
        <v>-295</v>
      </c>
      <c r="H16" s="16">
        <v>-1965</v>
      </c>
      <c r="I16" s="16">
        <f>208+482-20-252.6</f>
        <v>417.4</v>
      </c>
      <c r="J16" s="16">
        <f>1556-553</f>
        <v>1003</v>
      </c>
      <c r="K16" s="16">
        <f>I16+J16</f>
        <v>1420.4</v>
      </c>
      <c r="L16" s="16">
        <f>N15</f>
        <v>80</v>
      </c>
      <c r="M16" s="16">
        <f>D16+E16+F16+G16+H16+I16+J16</f>
        <v>-15.6</v>
      </c>
      <c r="N16" s="16">
        <f>L16+M16</f>
        <v>64.40000000000001</v>
      </c>
      <c r="O16" s="16">
        <f>D16+E16+F16+G16+H16+O15</f>
        <v>-1938</v>
      </c>
      <c r="P16" s="16">
        <f>-I16+P15</f>
        <v>476.6</v>
      </c>
      <c r="Q16" s="16">
        <f>-J16+Q15</f>
        <v>-2429</v>
      </c>
      <c r="R16" s="16">
        <f>-K16+R15</f>
        <v>-1952.4</v>
      </c>
      <c r="S16" s="19"/>
      <c r="T16" s="19"/>
      <c r="U16" s="19"/>
    </row>
    <row r="17" ht="20.05" customHeight="1">
      <c r="B17" s="30">
        <f>1+$B16</f>
        <v>2018</v>
      </c>
      <c r="C17" s="15">
        <v>3198</v>
      </c>
      <c r="D17" s="16">
        <v>1070</v>
      </c>
      <c r="E17" s="16">
        <v>-159</v>
      </c>
      <c r="F17" s="16">
        <v>5</v>
      </c>
      <c r="G17" s="16">
        <v>-21</v>
      </c>
      <c r="H17" s="16">
        <v>-1992</v>
      </c>
      <c r="I17" s="16">
        <f>293+1030-201-582</f>
        <v>540</v>
      </c>
      <c r="J17" s="16">
        <f>565</f>
        <v>565</v>
      </c>
      <c r="K17" s="16">
        <f>I17+J17</f>
        <v>1105</v>
      </c>
      <c r="L17" s="16">
        <f>N16</f>
        <v>64.40000000000001</v>
      </c>
      <c r="M17" s="16">
        <f>D17+E17+F17+G17+H17+I17+J17</f>
        <v>8</v>
      </c>
      <c r="N17" s="16">
        <f>L17+M17</f>
        <v>72.40000000000001</v>
      </c>
      <c r="O17" s="16">
        <f>D17+E17+F17+G17+H17+O16</f>
        <v>-3035</v>
      </c>
      <c r="P17" s="16">
        <f>-I17+P16</f>
        <v>-63.4</v>
      </c>
      <c r="Q17" s="16">
        <f>-J17+Q16</f>
        <v>-2994</v>
      </c>
      <c r="R17" s="16">
        <f>-K17+R16</f>
        <v>-3057.4</v>
      </c>
      <c r="S17" s="19"/>
      <c r="T17" s="19"/>
      <c r="U17" s="19"/>
    </row>
    <row r="18" ht="20.05" customHeight="1">
      <c r="B18" s="30">
        <f>1+$B17</f>
        <v>2019</v>
      </c>
      <c r="C18" s="15">
        <v>3424</v>
      </c>
      <c r="D18" s="16">
        <v>1289</v>
      </c>
      <c r="E18" s="16">
        <v>-141</v>
      </c>
      <c r="F18" s="16">
        <v>-1.5</v>
      </c>
      <c r="G18" s="16">
        <v>182</v>
      </c>
      <c r="H18" s="16">
        <v>-1651</v>
      </c>
      <c r="I18" s="16">
        <f>-308-1286</f>
        <v>-1594</v>
      </c>
      <c r="J18" s="16">
        <v>1925</v>
      </c>
      <c r="K18" s="16">
        <f>I18+J18</f>
        <v>331</v>
      </c>
      <c r="L18" s="16">
        <f>N17+2</f>
        <v>74.40000000000001</v>
      </c>
      <c r="M18" s="16">
        <f>D18+E18+F18+G18+H18+I18+J18</f>
        <v>8.5</v>
      </c>
      <c r="N18" s="16">
        <f>L18+M18</f>
        <v>82.90000000000001</v>
      </c>
      <c r="O18" s="16">
        <f>D18+E18+F18+G18+H18+O17</f>
        <v>-3357.5</v>
      </c>
      <c r="P18" s="16">
        <f>-I18+P17</f>
        <v>1530.6</v>
      </c>
      <c r="Q18" s="16">
        <f>-J18+Q17</f>
        <v>-4919</v>
      </c>
      <c r="R18" s="16">
        <f>-K18+R17</f>
        <v>-3388.4</v>
      </c>
      <c r="S18" s="19"/>
      <c r="T18" s="19"/>
      <c r="U18" s="19"/>
    </row>
    <row r="19" ht="20.05" customHeight="1">
      <c r="B19" s="30">
        <f>1+$B18</f>
        <v>2020</v>
      </c>
      <c r="C19" s="15">
        <v>3663</v>
      </c>
      <c r="D19" s="16">
        <v>1071</v>
      </c>
      <c r="E19" s="16">
        <v>-63</v>
      </c>
      <c r="F19" s="16">
        <v>-2.2</v>
      </c>
      <c r="G19" s="16">
        <v>-354</v>
      </c>
      <c r="H19" s="16">
        <v>-2308</v>
      </c>
      <c r="I19" s="16">
        <f>250-444</f>
        <v>-194</v>
      </c>
      <c r="J19" s="16">
        <v>1846</v>
      </c>
      <c r="K19" s="16">
        <f>I19+J19</f>
        <v>1652</v>
      </c>
      <c r="L19" s="16">
        <f>N18+2</f>
        <v>84.90000000000001</v>
      </c>
      <c r="M19" s="16">
        <f>D19+E19+F19+G19+H19+I19+J19</f>
        <v>-4.2</v>
      </c>
      <c r="N19" s="16">
        <f>L19+M19</f>
        <v>80.7</v>
      </c>
      <c r="O19" s="16">
        <f>D19+E19+F19+G19+H19+O18</f>
        <v>-5013.7</v>
      </c>
      <c r="P19" s="16">
        <f>-I19+P18</f>
        <v>1724.6</v>
      </c>
      <c r="Q19" s="16">
        <f>-J19+Q18</f>
        <v>-6765</v>
      </c>
      <c r="R19" s="16">
        <f>-K19+R18</f>
        <v>-5040.4</v>
      </c>
      <c r="S19" s="19"/>
      <c r="T19" s="19"/>
      <c r="U19" s="19"/>
    </row>
    <row r="20" ht="20.05" customHeight="1">
      <c r="B20" s="30">
        <f>1+$B19</f>
        <v>2021</v>
      </c>
      <c r="C20" s="15">
        <v>3667</v>
      </c>
      <c r="D20" s="16">
        <f>SUM('Cashflow'!D16:D19)</f>
        <v>1014.8</v>
      </c>
      <c r="E20" s="16">
        <f>SUM('Cashflow'!F16:F19)</f>
        <v>-217.9</v>
      </c>
      <c r="F20" s="16">
        <v>-6.8</v>
      </c>
      <c r="G20" s="16">
        <v>22</v>
      </c>
      <c r="H20" s="16">
        <f>SUM('Cashflow'!E16:E19)</f>
        <v>-1117.7</v>
      </c>
      <c r="I20" s="16">
        <f>SUM('Cashflow'!H16:H19)</f>
        <v>-204</v>
      </c>
      <c r="J20" s="16">
        <f>SUM('Cashflow'!I16:I19)</f>
        <v>456.5</v>
      </c>
      <c r="K20" s="16">
        <f>I20+J20</f>
        <v>252.5</v>
      </c>
      <c r="L20" s="16">
        <f>N19</f>
        <v>80.7</v>
      </c>
      <c r="M20" s="16">
        <f>D20+E20+F20+G20+H20+I20+J20</f>
        <v>-53.1</v>
      </c>
      <c r="N20" s="16">
        <f>L20+M20</f>
        <v>27.6</v>
      </c>
      <c r="O20" s="16">
        <f>D20+E20+F20+G20+H20+O19</f>
        <v>-5319.3</v>
      </c>
      <c r="P20" s="16">
        <f>-I20+P19</f>
        <v>1928.6</v>
      </c>
      <c r="Q20" s="16">
        <f>-J20+Q19</f>
        <v>-7221.5</v>
      </c>
      <c r="R20" s="16">
        <f>-K20+R19</f>
        <v>-5292.9</v>
      </c>
      <c r="S20" s="16">
        <f>AVERAGE(K15:K20)</f>
        <v>882.15</v>
      </c>
      <c r="T20" s="16">
        <f>AVERAGE(K16:K20)</f>
        <v>952.1799999999999</v>
      </c>
      <c r="U20" s="29">
        <f>SUM('Cashflow'!H17:I20)</f>
        <v>188.772</v>
      </c>
    </row>
    <row r="21" ht="20.05" customHeight="1">
      <c r="B21" s="30">
        <f>1+$B20</f>
        <v>2022</v>
      </c>
      <c r="C21" s="15">
        <f>'Cashflow'!C20</f>
        <v>734.4</v>
      </c>
      <c r="D21" s="16">
        <f>'Cashflow'!D20</f>
        <v>255.9</v>
      </c>
      <c r="E21" s="16">
        <f>'Cashflow'!F20</f>
        <v>-26.2</v>
      </c>
      <c r="F21" s="16">
        <v>-0.4</v>
      </c>
      <c r="G21" s="16">
        <v>0</v>
      </c>
      <c r="H21" s="16">
        <f>'Cashflow'!E20</f>
        <v>-139.1</v>
      </c>
      <c r="I21" s="16">
        <f>'Cashflow'!H20</f>
        <v>-63.7</v>
      </c>
      <c r="J21" s="16">
        <f>'Cashflow'!I20</f>
        <v>0</v>
      </c>
      <c r="K21" s="16">
        <f>I21+J21</f>
        <v>-63.7</v>
      </c>
      <c r="L21" s="16">
        <f>N20</f>
        <v>27.6</v>
      </c>
      <c r="M21" s="16">
        <f>D21+E21+F21+G21+H21+I21+J21</f>
        <v>26.5</v>
      </c>
      <c r="N21" s="16">
        <f>L21+M21</f>
        <v>54.1</v>
      </c>
      <c r="O21" s="16">
        <f>D21+E21+F21+G21+H21+O20</f>
        <v>-5229.1</v>
      </c>
      <c r="P21" s="16">
        <f>-I21+P20</f>
        <v>1992.3</v>
      </c>
      <c r="Q21" s="16">
        <f>-J21+Q20</f>
        <v>-7221.5</v>
      </c>
      <c r="R21" s="16">
        <f>-K21+R20</f>
        <v>-5229.2</v>
      </c>
      <c r="S21" s="19"/>
      <c r="T21" s="19"/>
      <c r="U21" s="19"/>
    </row>
  </sheetData>
  <mergeCells count="1">
    <mergeCell ref="B2:U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