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<sst xmlns="http://schemas.openxmlformats.org/spreadsheetml/2006/main" uniqueCount="57">
  <si>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</si>
  <si>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</si>
  <si>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</si>
  <si>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</si>
  <si>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</si>
  <si>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</si>
  <si>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</si>
  <si>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</si>
  <si>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</si>
  <si>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</si>
  <si>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</si>
  <si>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</si>
  <si>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</si>
  <si>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</si>
  <si>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</si>
  <si>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</si>
  <si>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</si>
  <si>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</si>
  <si>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</si>
  <si>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</si>
  <si>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</si>
  <si>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</si>
  <si>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</si>
  <si>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</si>
  <si>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</si>
  <si>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</si>
  <si>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</si>
  <si>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</si>
  <si>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</si>
  <si>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</si>
  <si>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</si>
  <si>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</si>
  <si>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</si>
  <si>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</si>
  <si>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</si>
  <si>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</si>
  <si>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</si>
  <si>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</si>
  <si>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</si>
  <si>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</si>
  <si>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</si>
  <si>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</si>
  <si>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</si>
  <si>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Rp bn</t>
  </si>
  <si>
    <t>Non cash costs</t>
  </si>
  <si>
    <t>Profit</t>
  </si>
  <si>
    <t xml:space="preserve">Sales growth </t>
  </si>
  <si>
    <t xml:space="preserve">Cash cost ratio </t>
  </si>
  <si>
    <t>Rpbm</t>
  </si>
  <si>
    <t>Receipts</t>
  </si>
  <si>
    <t xml:space="preserve">Free cashflow </t>
  </si>
  <si>
    <t>Cash</t>
  </si>
  <si>
    <t>Assets</t>
  </si>
  <si>
    <t>Check</t>
  </si>
  <si>
    <t>Share price</t>
  </si>
  <si>
    <t>IPCM</t>
  </si>
  <si>
    <t>Previous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</si>
</sst>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.0"/>
    <numFmt numFmtId="60" formatCode="#,##0%_);[Red]\(#,##0%\)"/>
    <numFmt numFmtId="61" formatCode="#,##0%"/>
    <numFmt numFmtId="62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0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3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494656</xdr:colOff>
      <xdr:row>1</xdr:row>
      <xdr:rowOff>281092</xdr:rowOff>
    </xdr:from>
    <xdr:to>
      <xdr:col>13</xdr:col>
      <xdr:colOff>657378</xdr:colOff>
      <xdr:row>50</xdr:row>
      <xdr:rowOff>25319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25356" y="433492"/>
          <a:ext cx="8874923" cy="1232103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4375" style="1" customWidth="1"/>
    <col min="3" max="6" width="9.64844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AVERAGE('Sales'!F20:F23)</f>
        <v>0.0385836387138109</v>
      </c>
      <c r="D4" s="8"/>
      <c r="E4" s="8"/>
      <c r="F4" s="9">
        <f>AVERAGE(C5:F5)</f>
        <v>0.0275</v>
      </c>
    </row>
    <row r="5" ht="20.05" customHeight="1">
      <c r="B5" t="s" s="10">
        <v>4</v>
      </c>
      <c r="C5" s="11">
        <v>0.03</v>
      </c>
      <c r="D5" s="12">
        <v>0.04</v>
      </c>
      <c r="E5" s="12">
        <v>0.06</v>
      </c>
      <c r="F5" s="12">
        <v>-0.02</v>
      </c>
    </row>
    <row r="6" ht="20.05" customHeight="1">
      <c r="B6" t="s" s="10">
        <v>5</v>
      </c>
      <c r="C6" s="13">
        <f>'Sales'!B23*(1+C5)</f>
        <v>219.493</v>
      </c>
      <c r="D6" s="14">
        <f>C6*(1+D5)</f>
        <v>228.27272</v>
      </c>
      <c r="E6" s="14">
        <f>D6*(1+E5)</f>
        <v>241.9690832</v>
      </c>
      <c r="F6" s="14">
        <f>E6*(1+F5)</f>
        <v>237.129701536</v>
      </c>
    </row>
    <row r="7" ht="20.05" customHeight="1">
      <c r="B7" t="s" s="10">
        <v>6</v>
      </c>
      <c r="C7" s="11">
        <f>AVERAGE('Sales'!H23)</f>
        <v>-0.738432718976836</v>
      </c>
      <c r="D7" s="12">
        <f>C7</f>
        <v>-0.738432718976836</v>
      </c>
      <c r="E7" s="12">
        <f>D7</f>
        <v>-0.738432718976836</v>
      </c>
      <c r="F7" s="12">
        <f>E7</f>
        <v>-0.738432718976836</v>
      </c>
    </row>
    <row r="8" ht="20.05" customHeight="1">
      <c r="B8" t="s" s="10">
        <v>7</v>
      </c>
      <c r="C8" s="15">
        <f>C6*C7</f>
        <v>-162.080812786383</v>
      </c>
      <c r="D8" s="16">
        <f>D6*D7</f>
        <v>-168.564045297838</v>
      </c>
      <c r="E8" s="16">
        <f>E6*E7</f>
        <v>-178.677888015708</v>
      </c>
      <c r="F8" s="16">
        <f>F6*F7</f>
        <v>-175.104330255394</v>
      </c>
    </row>
    <row r="9" ht="20.05" customHeight="1">
      <c r="B9" t="s" s="10">
        <v>8</v>
      </c>
      <c r="C9" s="15">
        <f>C6+C8</f>
        <v>57.412187213617</v>
      </c>
      <c r="D9" s="16">
        <f>D6+D8</f>
        <v>59.708674702162</v>
      </c>
      <c r="E9" s="16">
        <f>E6+E8</f>
        <v>63.291195184292</v>
      </c>
      <c r="F9" s="16">
        <f>F6+F8</f>
        <v>62.025371280606</v>
      </c>
    </row>
    <row r="10" ht="20.05" customHeight="1">
      <c r="B10" t="s" s="10">
        <v>9</v>
      </c>
      <c r="C10" s="15">
        <f>AVERAGE('Cashflow '!E28)</f>
        <v>0</v>
      </c>
      <c r="D10" s="16">
        <f>C10</f>
        <v>0</v>
      </c>
      <c r="E10" s="16">
        <f>D10</f>
        <v>0</v>
      </c>
      <c r="F10" s="16">
        <f>E10</f>
        <v>0</v>
      </c>
    </row>
    <row r="11" ht="20.05" customHeight="1">
      <c r="B11" t="s" s="10">
        <v>10</v>
      </c>
      <c r="C11" s="15">
        <f>AVERAGE('Cashflow '!F28)</f>
        <v>0</v>
      </c>
      <c r="D11" s="16">
        <f>C11</f>
        <v>0</v>
      </c>
      <c r="E11" s="16">
        <f>D11</f>
        <v>0</v>
      </c>
      <c r="F11" s="16">
        <f>E11</f>
        <v>0</v>
      </c>
    </row>
    <row r="12" ht="20.05" customHeight="1">
      <c r="B12" t="s" s="10">
        <v>11</v>
      </c>
      <c r="C12" s="15">
        <f>C13+C16+C14</f>
        <v>-57.262187213617</v>
      </c>
      <c r="D12" s="16">
        <f>D13+D16+D14</f>
        <v>-58.771174702162</v>
      </c>
      <c r="E12" s="16">
        <f>E13+E16+E14</f>
        <v>-61.605570184292</v>
      </c>
      <c r="F12" s="16">
        <f>F13+F16+F14</f>
        <v>-59.629027530606</v>
      </c>
    </row>
    <row r="13" ht="20.05" customHeight="1">
      <c r="B13" t="s" s="10">
        <v>12</v>
      </c>
      <c r="C13" s="15">
        <f>-'Balance sheet'!G20/20</f>
        <v>-15.75</v>
      </c>
      <c r="D13" s="16">
        <f>-C28/20</f>
        <v>-14.9625</v>
      </c>
      <c r="E13" s="16">
        <f>-D28/20</f>
        <v>-14.214375</v>
      </c>
      <c r="F13" s="16">
        <f>-E28/20</f>
        <v>-13.50365625</v>
      </c>
    </row>
    <row r="14" ht="20.05" customHeight="1">
      <c r="B14" t="s" s="10">
        <v>13</v>
      </c>
      <c r="C14" s="15">
        <f>-MIN(0,C17)</f>
        <v>0</v>
      </c>
      <c r="D14" s="16">
        <f>-MIN(C29,D17)</f>
        <v>0</v>
      </c>
      <c r="E14" s="16">
        <f>-MIN(D29,E17)</f>
        <v>0</v>
      </c>
      <c r="F14" s="16">
        <f>-MIN(E29,F17)</f>
        <v>0</v>
      </c>
    </row>
    <row r="15" ht="20.05" customHeight="1">
      <c r="B15" t="s" s="10">
        <v>14</v>
      </c>
      <c r="C15" s="17">
        <v>1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-41.512187213617</v>
      </c>
      <c r="D16" s="16">
        <f>IF(D23&gt;0,-D23*$C$15,0)</f>
        <v>-43.808674702162</v>
      </c>
      <c r="E16" s="16">
        <f>IF(E23&gt;0,-E23*$C$15,0)</f>
        <v>-47.391195184292</v>
      </c>
      <c r="F16" s="16">
        <f>IF(F23&gt;0,-F23*$C$15,0)</f>
        <v>-46.125371280606</v>
      </c>
    </row>
    <row r="17" ht="20.05" customHeight="1">
      <c r="B17" t="s" s="10">
        <v>16</v>
      </c>
      <c r="C17" s="15">
        <f>C9+C10+C13+C16</f>
        <v>0.15</v>
      </c>
      <c r="D17" s="16">
        <f>D9+D10+D13+D16</f>
        <v>0.9375</v>
      </c>
      <c r="E17" s="16">
        <f>E9+E10+E13+E16</f>
        <v>1.685625</v>
      </c>
      <c r="F17" s="16">
        <f>F9+F10+F13+F16</f>
        <v>2.39634375</v>
      </c>
    </row>
    <row r="18" ht="20.05" customHeight="1">
      <c r="B18" t="s" s="10">
        <v>17</v>
      </c>
      <c r="C18" s="15">
        <f>'Balance sheet'!C20</f>
        <v>716</v>
      </c>
      <c r="D18" s="16">
        <f>C20</f>
        <v>716.15</v>
      </c>
      <c r="E18" s="16">
        <f>D20</f>
        <v>717.0875</v>
      </c>
      <c r="F18" s="16">
        <f>E20</f>
        <v>718.7731250000001</v>
      </c>
    </row>
    <row r="19" ht="20.05" customHeight="1">
      <c r="B19" t="s" s="10">
        <v>18</v>
      </c>
      <c r="C19" s="15">
        <f>C9+C10+C12</f>
        <v>0.15</v>
      </c>
      <c r="D19" s="16">
        <f>D9+D10+D12</f>
        <v>0.9375</v>
      </c>
      <c r="E19" s="16">
        <f>E9+E10+E12</f>
        <v>1.685625</v>
      </c>
      <c r="F19" s="16">
        <f>F9+F10+F12</f>
        <v>2.39634375</v>
      </c>
    </row>
    <row r="20" ht="20.05" customHeight="1">
      <c r="B20" t="s" s="10">
        <v>19</v>
      </c>
      <c r="C20" s="15">
        <f>C18+C19</f>
        <v>716.15</v>
      </c>
      <c r="D20" s="16">
        <f>D18+D19</f>
        <v>717.0875</v>
      </c>
      <c r="E20" s="16">
        <f>E18+E19</f>
        <v>718.7731250000001</v>
      </c>
      <c r="F20" s="16">
        <f>F18+F19</f>
        <v>721.16946875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-AVERAGE('Sales'!D23)</f>
        <v>-15.9</v>
      </c>
      <c r="D22" s="16">
        <f>C22</f>
        <v>-15.9</v>
      </c>
      <c r="E22" s="16">
        <f>D22</f>
        <v>-15.9</v>
      </c>
      <c r="F22" s="16">
        <f>E22</f>
        <v>-15.9</v>
      </c>
    </row>
    <row r="23" ht="20.05" customHeight="1">
      <c r="B23" t="s" s="10">
        <v>20</v>
      </c>
      <c r="C23" s="15">
        <f>C6+C8+C22</f>
        <v>41.512187213617</v>
      </c>
      <c r="D23" s="16">
        <f>D6+D8+D22</f>
        <v>43.808674702162</v>
      </c>
      <c r="E23" s="16">
        <f>E6+E8+E22</f>
        <v>47.391195184292</v>
      </c>
      <c r="F23" s="16">
        <f>F6+F8+F22</f>
        <v>46.125371280606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sheet'!E20+'Balance sheet'!F20-C10</f>
        <v>1036</v>
      </c>
      <c r="D25" s="16">
        <f>C25-D10</f>
        <v>1036</v>
      </c>
      <c r="E25" s="16">
        <f>D25-E10</f>
        <v>1036</v>
      </c>
      <c r="F25" s="16">
        <f>E25-F10</f>
        <v>1036</v>
      </c>
    </row>
    <row r="26" ht="20.05" customHeight="1">
      <c r="B26" t="s" s="10">
        <v>24</v>
      </c>
      <c r="C26" s="15">
        <f>'Balance sheet'!F20-C22</f>
        <v>258.9</v>
      </c>
      <c r="D26" s="16">
        <f>C26-D22</f>
        <v>274.8</v>
      </c>
      <c r="E26" s="16">
        <f>D26-E22</f>
        <v>290.7</v>
      </c>
      <c r="F26" s="16">
        <f>E26-F22</f>
        <v>306.6</v>
      </c>
    </row>
    <row r="27" ht="20.05" customHeight="1">
      <c r="B27" t="s" s="10">
        <v>25</v>
      </c>
      <c r="C27" s="15">
        <f>C25-C26</f>
        <v>777.1</v>
      </c>
      <c r="D27" s="16">
        <f>D25-D26</f>
        <v>761.2</v>
      </c>
      <c r="E27" s="16">
        <f>E25-E26</f>
        <v>745.3</v>
      </c>
      <c r="F27" s="16">
        <f>F25-F26</f>
        <v>729.4</v>
      </c>
    </row>
    <row r="28" ht="20.05" customHeight="1">
      <c r="B28" t="s" s="10">
        <v>12</v>
      </c>
      <c r="C28" s="15">
        <f>'Balance sheet'!G20+C13</f>
        <v>299.25</v>
      </c>
      <c r="D28" s="16">
        <f>C28+D13</f>
        <v>284.2875</v>
      </c>
      <c r="E28" s="16">
        <f>D28+E13</f>
        <v>270.073125</v>
      </c>
      <c r="F28" s="16">
        <f>E28+F13</f>
        <v>256.56946875</v>
      </c>
    </row>
    <row r="29" ht="20.05" customHeight="1">
      <c r="B29" t="s" s="10">
        <v>13</v>
      </c>
      <c r="C29" s="15">
        <f>C14</f>
        <v>0</v>
      </c>
      <c r="D29" s="16">
        <f>C29+D14</f>
        <v>0</v>
      </c>
      <c r="E29" s="16">
        <f>D29+E14</f>
        <v>0</v>
      </c>
      <c r="F29" s="16">
        <f>E29+F14</f>
        <v>0</v>
      </c>
    </row>
    <row r="30" ht="20.05" customHeight="1">
      <c r="B30" t="s" s="10">
        <v>15</v>
      </c>
      <c r="C30" s="15">
        <f>'Balance sheet'!H20+C23+C16</f>
        <v>1194</v>
      </c>
      <c r="D30" s="16">
        <f>C30+D23+D16</f>
        <v>1194</v>
      </c>
      <c r="E30" s="16">
        <f>D30+E23+E16</f>
        <v>1194</v>
      </c>
      <c r="F30" s="16">
        <f>E30+F23+F16</f>
        <v>1194</v>
      </c>
    </row>
    <row r="31" ht="20.05" customHeight="1">
      <c r="B31" t="s" s="10">
        <v>26</v>
      </c>
      <c r="C31" s="15">
        <f>C28+C29+C30-C20-C27</f>
        <v>0</v>
      </c>
      <c r="D31" s="16">
        <f>D28+D29+D30-D20-D27</f>
        <v>0</v>
      </c>
      <c r="E31" s="16">
        <f>E28+E29+E30-E20-E27</f>
        <v>0</v>
      </c>
      <c r="F31" s="16">
        <f>F28+F29+F30-F20-F27</f>
        <v>0</v>
      </c>
    </row>
    <row r="32" ht="20.05" customHeight="1">
      <c r="B32" t="s" s="10">
        <v>27</v>
      </c>
      <c r="C32" s="15">
        <f>C20-C28-C29</f>
        <v>416.9</v>
      </c>
      <c r="D32" s="16">
        <f>D20-D28-D29</f>
        <v>432.8</v>
      </c>
      <c r="E32" s="16">
        <f>E20-E28-E29</f>
        <v>448.7</v>
      </c>
      <c r="F32" s="16">
        <f>F20-F28-F29</f>
        <v>464.6</v>
      </c>
    </row>
    <row r="33" ht="20.05" customHeight="1">
      <c r="B33" t="s" s="10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'!M28-C12</f>
        <v>520.462187213617</v>
      </c>
      <c r="D34" s="16">
        <f>C34-D12</f>
        <v>579.233361915779</v>
      </c>
      <c r="E34" s="16">
        <f>D34-E12</f>
        <v>640.838932100071</v>
      </c>
      <c r="F34" s="16">
        <f>E34-F12</f>
        <v>700.467959630677</v>
      </c>
    </row>
    <row r="35" ht="20.05" customHeight="1">
      <c r="B35" t="s" s="10">
        <v>30</v>
      </c>
      <c r="C35" s="15"/>
      <c r="D35" s="16"/>
      <c r="E35" s="16"/>
      <c r="F35" s="16">
        <v>1509156160512</v>
      </c>
    </row>
    <row r="36" ht="20.05" customHeight="1">
      <c r="B36" t="s" s="10">
        <v>30</v>
      </c>
      <c r="C36" s="15"/>
      <c r="D36" s="16"/>
      <c r="E36" s="16"/>
      <c r="F36" s="16">
        <f>F35/1000000000</f>
        <v>1509.156160512</v>
      </c>
    </row>
    <row r="37" ht="20.05" customHeight="1">
      <c r="B37" t="s" s="10">
        <v>31</v>
      </c>
      <c r="C37" s="13"/>
      <c r="D37" s="14"/>
      <c r="E37" s="14"/>
      <c r="F37" s="20">
        <f>F36/(F20+F27)</f>
        <v>1.04038875284786</v>
      </c>
    </row>
    <row r="38" ht="20.05" customHeight="1">
      <c r="B38" t="s" s="10">
        <v>32</v>
      </c>
      <c r="C38" s="13"/>
      <c r="D38" s="14"/>
      <c r="E38" s="14"/>
      <c r="F38" s="21">
        <f>-(C16+D16+E16+F16)/F36</f>
        <v>0.118501605771535</v>
      </c>
    </row>
    <row r="39" ht="20.05" customHeight="1">
      <c r="B39" t="s" s="10">
        <v>33</v>
      </c>
      <c r="C39" s="13"/>
      <c r="D39" s="14"/>
      <c r="E39" s="14"/>
      <c r="F39" s="14">
        <f>SUM(C9:F11)</f>
        <v>242.437428380677</v>
      </c>
    </row>
    <row r="40" ht="20.05" customHeight="1">
      <c r="B40" t="s" s="10">
        <v>34</v>
      </c>
      <c r="C40" s="13"/>
      <c r="D40" s="14"/>
      <c r="E40" s="14"/>
      <c r="F40" s="14">
        <f>'Balance sheet'!E20/F39</f>
        <v>3.27094708641615</v>
      </c>
    </row>
    <row r="41" ht="20.05" customHeight="1">
      <c r="B41" t="s" s="10">
        <v>28</v>
      </c>
      <c r="C41" s="13"/>
      <c r="D41" s="14"/>
      <c r="E41" s="14"/>
      <c r="F41" s="14">
        <f>F36/F39</f>
        <v>6.22493057525058</v>
      </c>
    </row>
    <row r="42" ht="20.05" customHeight="1">
      <c r="B42" t="s" s="10">
        <v>35</v>
      </c>
      <c r="C42" s="13"/>
      <c r="D42" s="14"/>
      <c r="E42" s="14"/>
      <c r="F42" s="14">
        <v>12</v>
      </c>
    </row>
    <row r="43" ht="20.05" customHeight="1">
      <c r="B43" t="s" s="10">
        <v>36</v>
      </c>
      <c r="C43" s="13"/>
      <c r="D43" s="14"/>
      <c r="E43" s="14"/>
      <c r="F43" s="14">
        <f>F39*F42</f>
        <v>2909.249140568120</v>
      </c>
    </row>
    <row r="44" ht="20.05" customHeight="1">
      <c r="B44" t="s" s="10">
        <v>37</v>
      </c>
      <c r="C44" s="13"/>
      <c r="D44" s="14"/>
      <c r="E44" s="14"/>
      <c r="F44" s="14">
        <f>F36/F46</f>
        <v>5.276769792</v>
      </c>
    </row>
    <row r="45" ht="20.05" customHeight="1">
      <c r="B45" t="s" s="10">
        <v>38</v>
      </c>
      <c r="C45" s="13"/>
      <c r="D45" s="14"/>
      <c r="E45" s="14"/>
      <c r="F45" s="14">
        <f>F43/F44</f>
        <v>551.331449967511</v>
      </c>
    </row>
    <row r="46" ht="20.05" customHeight="1">
      <c r="B46" t="s" s="10">
        <v>39</v>
      </c>
      <c r="C46" s="13"/>
      <c r="D46" s="14"/>
      <c r="E46" s="14"/>
      <c r="F46" s="14">
        <v>286</v>
      </c>
    </row>
    <row r="47" ht="20.05" customHeight="1">
      <c r="B47" t="s" s="10">
        <v>40</v>
      </c>
      <c r="C47" s="13"/>
      <c r="D47" s="14"/>
      <c r="E47" s="14"/>
      <c r="F47" s="21">
        <f>F45/F46-1</f>
        <v>0.927732342543745</v>
      </c>
    </row>
    <row r="48" ht="20.05" customHeight="1">
      <c r="B48" t="s" s="10">
        <v>41</v>
      </c>
      <c r="C48" s="13"/>
      <c r="D48" s="14"/>
      <c r="E48" s="14"/>
      <c r="F48" s="21">
        <f>'Sales'!B23/'Sales'!B19-1</f>
        <v>0.155013550135501</v>
      </c>
    </row>
    <row r="49" ht="20.05" customHeight="1">
      <c r="B49" t="s" s="10">
        <v>42</v>
      </c>
      <c r="C49" s="13"/>
      <c r="D49" s="14"/>
      <c r="E49" s="14"/>
      <c r="F49" s="22">
        <f>'Sales'!E26/'Sales'!D26-1</f>
        <v>-0.00911624856533858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0.0078" style="23" customWidth="1"/>
    <col min="10" max="16384" width="16.3516" style="23" customWidth="1"/>
  </cols>
  <sheetData>
    <row r="1" ht="27.65" customHeight="1">
      <c r="A1" t="s" s="2">
        <v>5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5">
        <v>43</v>
      </c>
      <c r="B2" t="s" s="5">
        <v>5</v>
      </c>
      <c r="C2" t="s" s="5">
        <v>35</v>
      </c>
      <c r="D2" t="s" s="5">
        <v>44</v>
      </c>
      <c r="E2" t="s" s="5">
        <v>45</v>
      </c>
      <c r="F2" t="s" s="5">
        <v>46</v>
      </c>
      <c r="G2" t="s" s="5">
        <v>47</v>
      </c>
      <c r="H2" t="s" s="5">
        <v>47</v>
      </c>
      <c r="I2" t="s" s="5">
        <v>35</v>
      </c>
    </row>
    <row r="3" ht="20.25" customHeight="1">
      <c r="A3" s="24">
        <v>2017</v>
      </c>
      <c r="B3" s="25">
        <v>156</v>
      </c>
      <c r="C3" s="26"/>
      <c r="D3" s="26">
        <v>0.8</v>
      </c>
      <c r="E3" s="26">
        <v>30.8</v>
      </c>
      <c r="F3" s="9"/>
      <c r="G3" s="9">
        <f>(D3+E3-B3)/B3</f>
        <v>-0.797435897435897</v>
      </c>
      <c r="H3" s="9"/>
      <c r="I3" s="8"/>
    </row>
    <row r="4" ht="20.05" customHeight="1">
      <c r="A4" s="27"/>
      <c r="B4" s="13">
        <v>209.5</v>
      </c>
      <c r="C4" s="14"/>
      <c r="D4" s="14">
        <v>0.8</v>
      </c>
      <c r="E4" s="14">
        <v>20.1</v>
      </c>
      <c r="F4" s="12">
        <f>B4/B3-1</f>
        <v>0.342948717948718</v>
      </c>
      <c r="G4" s="12">
        <f>(D4+E4-B4)/B4</f>
        <v>-0.900238663484487</v>
      </c>
      <c r="H4" s="12"/>
      <c r="I4" s="19"/>
    </row>
    <row r="5" ht="20.05" customHeight="1">
      <c r="A5" s="27"/>
      <c r="B5" s="13">
        <v>175.4</v>
      </c>
      <c r="C5" s="14"/>
      <c r="D5" s="14">
        <v>0.8</v>
      </c>
      <c r="E5" s="14">
        <v>25.3</v>
      </c>
      <c r="F5" s="12">
        <f>B5/B4-1</f>
        <v>-0.162768496420048</v>
      </c>
      <c r="G5" s="12">
        <f>(D5+E5-B5)/B5</f>
        <v>-0.851197263397948</v>
      </c>
      <c r="H5" s="12"/>
      <c r="I5" s="19"/>
    </row>
    <row r="6" ht="20.05" customHeight="1">
      <c r="A6" s="27"/>
      <c r="B6" s="13">
        <v>205.8</v>
      </c>
      <c r="C6" s="14"/>
      <c r="D6" s="14">
        <v>4.9</v>
      </c>
      <c r="E6" s="14">
        <v>44.2</v>
      </c>
      <c r="F6" s="12">
        <f>B6/B5-1</f>
        <v>0.173318129988597</v>
      </c>
      <c r="G6" s="12">
        <f>(D6+E6-B6)/B6</f>
        <v>-0.761418853255588</v>
      </c>
      <c r="H6" s="12"/>
      <c r="I6" s="19"/>
    </row>
    <row r="7" ht="20.05" customHeight="1">
      <c r="A7" s="28">
        <v>2018</v>
      </c>
      <c r="B7" s="13">
        <v>163.6</v>
      </c>
      <c r="C7" s="14"/>
      <c r="D7" s="14">
        <v>6.5</v>
      </c>
      <c r="E7" s="14">
        <v>34.3</v>
      </c>
      <c r="F7" s="12">
        <f>B7/B6-1</f>
        <v>-0.205053449951409</v>
      </c>
      <c r="G7" s="12">
        <f>(D7+E7-B7)/B7</f>
        <v>-0.750611246943765</v>
      </c>
      <c r="H7" s="12">
        <f>AVERAGE(G4:G7)</f>
        <v>-0.815866506770447</v>
      </c>
      <c r="I7" s="19"/>
    </row>
    <row r="8" ht="20.05" customHeight="1">
      <c r="A8" s="27"/>
      <c r="B8" s="13">
        <v>197.5</v>
      </c>
      <c r="C8" s="14"/>
      <c r="D8" s="14">
        <v>6.9</v>
      </c>
      <c r="E8" s="14">
        <v>27.1</v>
      </c>
      <c r="F8" s="12">
        <f>B8/B7-1</f>
        <v>0.20721271393643</v>
      </c>
      <c r="G8" s="12">
        <f>(D8+E8-B8)/B8</f>
        <v>-0.827848101265823</v>
      </c>
      <c r="H8" s="12">
        <f>AVERAGE(G5:G8)</f>
        <v>-0.797768866215781</v>
      </c>
      <c r="I8" s="12"/>
    </row>
    <row r="9" ht="20.05" customHeight="1">
      <c r="A9" s="27"/>
      <c r="B9" s="13">
        <v>184.7</v>
      </c>
      <c r="C9" s="14"/>
      <c r="D9" s="14">
        <v>6.7</v>
      </c>
      <c r="E9" s="14">
        <v>8.300000000000001</v>
      </c>
      <c r="F9" s="12">
        <f>B9/B8-1</f>
        <v>-0.0648101265822785</v>
      </c>
      <c r="G9" s="12">
        <f>(D9+E9-B9)/B9</f>
        <v>-0.91878722252301</v>
      </c>
      <c r="H9" s="12">
        <f>AVERAGE(G6:G9)</f>
        <v>-0.814666355997047</v>
      </c>
      <c r="I9" s="12"/>
    </row>
    <row r="10" ht="20.05" customHeight="1">
      <c r="A10" s="27"/>
      <c r="B10" s="13">
        <v>181.2</v>
      </c>
      <c r="C10" s="14"/>
      <c r="D10" s="14">
        <v>8.5</v>
      </c>
      <c r="E10" s="14">
        <v>3.1</v>
      </c>
      <c r="F10" s="12">
        <f>B10/B9-1</f>
        <v>-0.0189496480779643</v>
      </c>
      <c r="G10" s="12">
        <f>(D10+E10-B10)/B10</f>
        <v>-0.93598233995585</v>
      </c>
      <c r="H10" s="12">
        <f>AVERAGE(G7:G10)</f>
        <v>-0.858307227672112</v>
      </c>
      <c r="I10" s="12"/>
    </row>
    <row r="11" ht="20.05" customHeight="1">
      <c r="A11" s="28">
        <v>2019</v>
      </c>
      <c r="B11" s="13">
        <v>154</v>
      </c>
      <c r="C11" s="14"/>
      <c r="D11" s="14">
        <v>6.9</v>
      </c>
      <c r="E11" s="14">
        <v>25.8</v>
      </c>
      <c r="F11" s="12">
        <f>B11/B10-1</f>
        <v>-0.150110375275938</v>
      </c>
      <c r="G11" s="12">
        <f>(D11+E11-B11)/B11</f>
        <v>-0.787662337662338</v>
      </c>
      <c r="H11" s="12">
        <f>AVERAGE(G8:G11)</f>
        <v>-0.867570000351755</v>
      </c>
      <c r="I11" s="12"/>
    </row>
    <row r="12" ht="20.05" customHeight="1">
      <c r="A12" s="27"/>
      <c r="B12" s="13">
        <v>173.1</v>
      </c>
      <c r="C12" s="14"/>
      <c r="D12" s="14">
        <v>7.1</v>
      </c>
      <c r="E12" s="14">
        <v>24.1</v>
      </c>
      <c r="F12" s="12">
        <f>B12/B11-1</f>
        <v>0.124025974025974</v>
      </c>
      <c r="G12" s="12">
        <f>(D12+E12-B12)/B12</f>
        <v>-0.819757365684575</v>
      </c>
      <c r="H12" s="12">
        <f>AVERAGE(G9:G12)</f>
        <v>-0.865547316456443</v>
      </c>
      <c r="I12" s="12"/>
    </row>
    <row r="13" ht="20.05" customHeight="1">
      <c r="A13" s="27"/>
      <c r="B13" s="13">
        <v>164.6</v>
      </c>
      <c r="C13" s="14"/>
      <c r="D13" s="14">
        <v>7.2</v>
      </c>
      <c r="E13" s="14">
        <v>18.9</v>
      </c>
      <c r="F13" s="12">
        <f>B13/B12-1</f>
        <v>-0.049104563835933</v>
      </c>
      <c r="G13" s="12">
        <f>(D13+E13-B13)/B13</f>
        <v>-0.841433778857837</v>
      </c>
      <c r="H13" s="12">
        <f>AVERAGE(G10:G13)</f>
        <v>-0.84620895554015</v>
      </c>
      <c r="I13" s="12"/>
    </row>
    <row r="14" ht="20.05" customHeight="1">
      <c r="A14" s="27"/>
      <c r="B14" s="13">
        <v>190</v>
      </c>
      <c r="C14" s="14"/>
      <c r="D14" s="14">
        <v>8.6</v>
      </c>
      <c r="E14" s="14">
        <v>21.2</v>
      </c>
      <c r="F14" s="12">
        <f>B14/B13-1</f>
        <v>0.154313487241798</v>
      </c>
      <c r="G14" s="12">
        <f>(D14+E14-B14)/B14</f>
        <v>-0.843157894736842</v>
      </c>
      <c r="H14" s="12">
        <f>AVERAGE(G11:G14)</f>
        <v>-0.823002844235398</v>
      </c>
      <c r="I14" s="12"/>
    </row>
    <row r="15" ht="20.05" customHeight="1">
      <c r="A15" s="28">
        <v>2020</v>
      </c>
      <c r="B15" s="13">
        <v>184.1</v>
      </c>
      <c r="C15" s="14"/>
      <c r="D15" s="14">
        <v>9</v>
      </c>
      <c r="E15" s="14">
        <v>32.3</v>
      </c>
      <c r="F15" s="12">
        <f>B15/B14-1</f>
        <v>-0.0310526315789474</v>
      </c>
      <c r="G15" s="12">
        <f>(D15+E15-B15)/B15</f>
        <v>-0.775665399239544</v>
      </c>
      <c r="H15" s="12">
        <f>AVERAGE(G12:G15)</f>
        <v>-0.8200036096297</v>
      </c>
      <c r="I15" s="12"/>
    </row>
    <row r="16" ht="20.05" customHeight="1">
      <c r="A16" s="27"/>
      <c r="B16" s="13">
        <v>154.2</v>
      </c>
      <c r="C16" s="14"/>
      <c r="D16" s="14">
        <v>17.5</v>
      </c>
      <c r="E16" s="14">
        <v>21.8</v>
      </c>
      <c r="F16" s="12">
        <f>B16/B15-1</f>
        <v>-0.162411732753938</v>
      </c>
      <c r="G16" s="12">
        <f>(D16+E16-B16)/B16</f>
        <v>-0.745136186770428</v>
      </c>
      <c r="H16" s="12">
        <f>AVERAGE(G13:G16)</f>
        <v>-0.801348314901163</v>
      </c>
      <c r="I16" s="12"/>
    </row>
    <row r="17" ht="20.05" customHeight="1">
      <c r="A17" s="27"/>
      <c r="B17" s="13">
        <v>171.8</v>
      </c>
      <c r="C17" s="14"/>
      <c r="D17" s="14">
        <v>12</v>
      </c>
      <c r="E17" s="14">
        <v>15.6</v>
      </c>
      <c r="F17" s="12">
        <f>B17/B16-1</f>
        <v>0.114137483787289</v>
      </c>
      <c r="G17" s="12">
        <f>(D17+E17-B17)/B17</f>
        <v>-0.839348079161816</v>
      </c>
      <c r="H17" s="12">
        <f>AVERAGE(G14:G17)</f>
        <v>-0.800826889977158</v>
      </c>
      <c r="I17" s="12"/>
    </row>
    <row r="18" ht="20.05" customHeight="1">
      <c r="A18" s="27"/>
      <c r="B18" s="13">
        <f>696.6-SUM(B15:B17)</f>
        <v>186.5</v>
      </c>
      <c r="C18" s="14">
        <v>182.77</v>
      </c>
      <c r="D18" s="14">
        <f>68.2+3.9-SUM(D15:D17)</f>
        <v>33.6</v>
      </c>
      <c r="E18" s="14">
        <f>80.2-SUM(E15:E17)</f>
        <v>10.5</v>
      </c>
      <c r="F18" s="12">
        <f>B18/B17-1</f>
        <v>0.0855646100116414</v>
      </c>
      <c r="G18" s="12">
        <f>(D18+E18-B18)/B18</f>
        <v>-0.763538873994638</v>
      </c>
      <c r="H18" s="12">
        <f>AVERAGE(G15:G18)</f>
        <v>-0.780922134791607</v>
      </c>
      <c r="I18" s="12"/>
    </row>
    <row r="19" ht="20.05" customHeight="1">
      <c r="A19" s="28">
        <v>2021</v>
      </c>
      <c r="B19" s="13">
        <v>184.5</v>
      </c>
      <c r="C19" s="14">
        <v>182.77</v>
      </c>
      <c r="D19" s="14">
        <f>10.9+6.4</f>
        <v>17.3</v>
      </c>
      <c r="E19" s="14">
        <v>33</v>
      </c>
      <c r="F19" s="12">
        <f>B19/B18-1</f>
        <v>-0.0107238605898123</v>
      </c>
      <c r="G19" s="12">
        <f>(D19+E19-B19)/B19</f>
        <v>-0.727371273712737</v>
      </c>
      <c r="H19" s="12">
        <f>AVERAGE(G16:G19)</f>
        <v>-0.768848603409905</v>
      </c>
      <c r="I19" s="12"/>
    </row>
    <row r="20" ht="20.05" customHeight="1">
      <c r="A20" s="27"/>
      <c r="B20" s="13">
        <f>393-B19</f>
        <v>208.5</v>
      </c>
      <c r="C20" s="14">
        <v>197.415</v>
      </c>
      <c r="D20" s="14">
        <f>34.4-D19</f>
        <v>17.1</v>
      </c>
      <c r="E20" s="14">
        <f>60.5-E19</f>
        <v>27.5</v>
      </c>
      <c r="F20" s="12">
        <f>B20/B19-1</f>
        <v>0.130081300813008</v>
      </c>
      <c r="G20" s="12">
        <f>(D20+E20-B20)/B20</f>
        <v>-0.786091127098321</v>
      </c>
      <c r="H20" s="12">
        <f>AVERAGE(G17:G20)</f>
        <v>-0.7790873384918779</v>
      </c>
      <c r="I20" s="12"/>
    </row>
    <row r="21" ht="20.05" customHeight="1">
      <c r="A21" s="27"/>
      <c r="B21" s="13">
        <f>600.1-SUM(B19:B20)</f>
        <v>207.1</v>
      </c>
      <c r="C21" s="14">
        <v>198.075</v>
      </c>
      <c r="D21" s="14">
        <f>23.8+19.5-SUM(D19:D20)</f>
        <v>8.9</v>
      </c>
      <c r="E21" s="14">
        <f>90.5-SUM(E19:E20)</f>
        <v>30</v>
      </c>
      <c r="F21" s="12">
        <f>B21/B20-1</f>
        <v>-0.00671462829736211</v>
      </c>
      <c r="G21" s="12">
        <f>(D21+E21-B21)/B21</f>
        <v>-0.812168034765814</v>
      </c>
      <c r="H21" s="12">
        <f>AVERAGE(G18:G21)</f>
        <v>-0.772292327392878</v>
      </c>
      <c r="I21" s="12"/>
    </row>
    <row r="22" ht="20.05" customHeight="1">
      <c r="A22" s="27"/>
      <c r="B22" s="13">
        <f>820.2-SUM(B19:B21)</f>
        <v>220.1</v>
      </c>
      <c r="C22" s="14">
        <v>231.952</v>
      </c>
      <c r="D22" s="14">
        <f>81.1+2.6-SUM(D19:D21)</f>
        <v>40.4</v>
      </c>
      <c r="E22" s="14">
        <f>136.6-SUM(E19:E21)</f>
        <v>46.1</v>
      </c>
      <c r="F22" s="12">
        <f>B22/B21-1</f>
        <v>0.0627716079188798</v>
      </c>
      <c r="G22" s="12">
        <f>(D22+E22-B22)/B22</f>
        <v>-0.606996819627442</v>
      </c>
      <c r="H22" s="12">
        <f>AVERAGE(G19:G22)</f>
        <v>-0.733156813801079</v>
      </c>
      <c r="I22" s="12"/>
    </row>
    <row r="23" ht="20.05" customHeight="1">
      <c r="A23" s="28">
        <v>2022</v>
      </c>
      <c r="B23" s="13">
        <v>213.1</v>
      </c>
      <c r="C23" s="14">
        <v>215.698</v>
      </c>
      <c r="D23" s="14">
        <f>6.4+9.5</f>
        <v>15.9</v>
      </c>
      <c r="E23" s="14">
        <v>37.7</v>
      </c>
      <c r="F23" s="12">
        <f>B23/B22-1</f>
        <v>-0.0318037255792821</v>
      </c>
      <c r="G23" s="12">
        <f>(D23+E23-B23)/B23</f>
        <v>-0.748474894415767</v>
      </c>
      <c r="H23" s="12">
        <f>AVERAGE(G20:G23)</f>
        <v>-0.738432718976836</v>
      </c>
      <c r="I23" s="12">
        <v>-0.733156813801079</v>
      </c>
    </row>
    <row r="24" ht="20.05" customHeight="1">
      <c r="A24" s="27"/>
      <c r="B24" s="13"/>
      <c r="C24" s="14">
        <f>'Model'!C6</f>
        <v>219.493</v>
      </c>
      <c r="D24" s="14"/>
      <c r="E24" s="14"/>
      <c r="F24" s="12"/>
      <c r="G24" s="19"/>
      <c r="H24" s="19"/>
      <c r="I24" s="12">
        <f>'Model'!C7</f>
        <v>-0.738432718976836</v>
      </c>
    </row>
    <row r="25" ht="20.05" customHeight="1">
      <c r="A25" s="27"/>
      <c r="B25" s="13"/>
      <c r="C25" s="14">
        <f>'Model'!D6</f>
        <v>228.27272</v>
      </c>
      <c r="D25" s="14"/>
      <c r="E25" s="14"/>
      <c r="F25" s="29"/>
      <c r="G25" s="12"/>
      <c r="H25" s="12"/>
      <c r="I25" s="12"/>
    </row>
    <row r="26" ht="20.05" customHeight="1">
      <c r="A26" s="27"/>
      <c r="B26" s="13"/>
      <c r="C26" s="14">
        <f>'Model'!E6</f>
        <v>241.9690832</v>
      </c>
      <c r="D26" s="14">
        <f>SUM(B18:B23)</f>
        <v>1219.8</v>
      </c>
      <c r="E26" s="14">
        <f>SUM(C18:C23)</f>
        <v>1208.68</v>
      </c>
      <c r="F26" s="29"/>
      <c r="G26" s="12"/>
      <c r="H26" s="12"/>
      <c r="I26" s="12"/>
    </row>
    <row r="27" ht="20.05" customHeight="1">
      <c r="A27" s="28">
        <v>2023</v>
      </c>
      <c r="B27" s="13"/>
      <c r="C27" s="14">
        <f>'Model'!F6</f>
        <v>237.129701536</v>
      </c>
      <c r="D27" s="14"/>
      <c r="E27" s="14"/>
      <c r="F27" s="29"/>
      <c r="G27" s="12"/>
      <c r="H27" s="12"/>
      <c r="I27" s="12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0" customWidth="1"/>
    <col min="2" max="2" width="9.95312" style="30" customWidth="1"/>
    <col min="3" max="15" width="10.7812" style="30" customWidth="1"/>
    <col min="16" max="16384" width="16.3516" style="30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48</v>
      </c>
      <c r="C3" t="s" s="5">
        <v>49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15</v>
      </c>
      <c r="I3" t="s" s="5">
        <v>11</v>
      </c>
      <c r="J3" t="s" s="5">
        <v>50</v>
      </c>
      <c r="K3" t="s" s="5">
        <v>33</v>
      </c>
      <c r="L3" t="s" s="5">
        <v>35</v>
      </c>
      <c r="M3" t="s" s="5">
        <v>29</v>
      </c>
      <c r="N3" t="s" s="5">
        <v>35</v>
      </c>
      <c r="O3" s="31"/>
    </row>
    <row r="4" ht="21.4" customHeight="1">
      <c r="B4" s="24">
        <v>2016</v>
      </c>
      <c r="C4" s="32"/>
      <c r="D4" s="33">
        <v>0</v>
      </c>
      <c r="E4" s="33">
        <v>0</v>
      </c>
      <c r="F4" s="33"/>
      <c r="G4" s="33"/>
      <c r="H4" s="33"/>
      <c r="I4" s="33">
        <v>0</v>
      </c>
      <c r="J4" s="34">
        <f>D4+E4</f>
        <v>0</v>
      </c>
      <c r="K4" s="34"/>
      <c r="L4" s="33"/>
      <c r="M4" s="33">
        <f>-(I4-F4)</f>
        <v>0</v>
      </c>
      <c r="N4" s="33"/>
      <c r="O4" s="33">
        <v>1</v>
      </c>
    </row>
    <row r="5" ht="21.2" customHeight="1">
      <c r="B5" s="27"/>
      <c r="C5" s="35"/>
      <c r="D5" s="16">
        <v>-33.6</v>
      </c>
      <c r="E5" s="16">
        <v>0</v>
      </c>
      <c r="F5" s="16"/>
      <c r="G5" s="16"/>
      <c r="H5" s="16"/>
      <c r="I5" s="16">
        <v>0</v>
      </c>
      <c r="J5" s="36">
        <f>D5+E5</f>
        <v>-33.6</v>
      </c>
      <c r="K5" s="36"/>
      <c r="L5" s="16"/>
      <c r="M5" s="16">
        <f>-(I5-F5)+M4</f>
        <v>0</v>
      </c>
      <c r="N5" s="16"/>
      <c r="O5" s="16">
        <f>1+O4</f>
        <v>2</v>
      </c>
    </row>
    <row r="6" ht="21.2" customHeight="1">
      <c r="B6" s="27"/>
      <c r="C6" s="35"/>
      <c r="D6" s="16">
        <v>33.6</v>
      </c>
      <c r="E6" s="16">
        <v>0</v>
      </c>
      <c r="F6" s="16"/>
      <c r="G6" s="16"/>
      <c r="H6" s="16"/>
      <c r="I6" s="16">
        <v>0</v>
      </c>
      <c r="J6" s="36">
        <f>D6+E6</f>
        <v>33.6</v>
      </c>
      <c r="K6" s="36"/>
      <c r="L6" s="16"/>
      <c r="M6" s="16">
        <f>-(I6-F6)+M5</f>
        <v>0</v>
      </c>
      <c r="N6" s="16"/>
      <c r="O6" s="16">
        <f>1+O5</f>
        <v>3</v>
      </c>
    </row>
    <row r="7" ht="21.2" customHeight="1">
      <c r="B7" s="27"/>
      <c r="C7" s="35"/>
      <c r="D7" s="16">
        <v>34.8</v>
      </c>
      <c r="E7" s="16">
        <v>0</v>
      </c>
      <c r="F7" s="16"/>
      <c r="G7" s="16"/>
      <c r="H7" s="16"/>
      <c r="I7" s="16">
        <v>-66.59999999999999</v>
      </c>
      <c r="J7" s="36">
        <f>D7+E7</f>
        <v>34.8</v>
      </c>
      <c r="K7" s="36"/>
      <c r="L7" s="16"/>
      <c r="M7" s="16">
        <f>-(I7-F7)+M6</f>
        <v>66.59999999999999</v>
      </c>
      <c r="N7" s="16"/>
      <c r="O7" s="16">
        <f>1+O6</f>
        <v>4</v>
      </c>
    </row>
    <row r="8" ht="21.2" customHeight="1">
      <c r="B8" s="28">
        <v>2017</v>
      </c>
      <c r="C8" s="35"/>
      <c r="D8" s="16">
        <v>-44.1</v>
      </c>
      <c r="E8" s="16">
        <v>0</v>
      </c>
      <c r="F8" s="16"/>
      <c r="G8" s="16"/>
      <c r="H8" s="16"/>
      <c r="I8" s="16">
        <v>66.59999999999999</v>
      </c>
      <c r="J8" s="36">
        <f>D8+E8+F8</f>
        <v>-44.1</v>
      </c>
      <c r="K8" s="36">
        <f>AVERAGE(J5:J8)</f>
        <v>-2.325</v>
      </c>
      <c r="L8" s="16"/>
      <c r="M8" s="16">
        <f>-(I8-F8)+M7</f>
        <v>0</v>
      </c>
      <c r="N8" s="16"/>
      <c r="O8" s="16">
        <f>1+O7</f>
        <v>5</v>
      </c>
    </row>
    <row r="9" ht="21.2" customHeight="1">
      <c r="B9" s="27"/>
      <c r="C9" s="35"/>
      <c r="D9" s="16">
        <v>10.1</v>
      </c>
      <c r="E9" s="16">
        <v>0</v>
      </c>
      <c r="F9" s="16"/>
      <c r="G9" s="16"/>
      <c r="H9" s="16"/>
      <c r="I9" s="16">
        <v>0</v>
      </c>
      <c r="J9" s="36">
        <f>D9+E9+F9</f>
        <v>10.1</v>
      </c>
      <c r="K9" s="36">
        <f>AVERAGE(J6:J9)</f>
        <v>8.6</v>
      </c>
      <c r="L9" s="16"/>
      <c r="M9" s="16">
        <f>-(I9-F9)+M8</f>
        <v>0</v>
      </c>
      <c r="N9" s="16"/>
      <c r="O9" s="16">
        <f>1+O8</f>
        <v>6</v>
      </c>
    </row>
    <row r="10" ht="21.2" customHeight="1">
      <c r="B10" s="27"/>
      <c r="C10" s="35"/>
      <c r="D10" s="16">
        <v>22.3</v>
      </c>
      <c r="E10" s="16">
        <v>0</v>
      </c>
      <c r="F10" s="16"/>
      <c r="G10" s="16"/>
      <c r="H10" s="16"/>
      <c r="I10" s="16">
        <v>0</v>
      </c>
      <c r="J10" s="36">
        <f>D10+E10+F10</f>
        <v>22.3</v>
      </c>
      <c r="K10" s="36">
        <f>AVERAGE(J7:J10)</f>
        <v>5.775</v>
      </c>
      <c r="L10" s="16"/>
      <c r="M10" s="16">
        <f>-(I10-F10)+M9</f>
        <v>0</v>
      </c>
      <c r="N10" s="16"/>
      <c r="O10" s="16">
        <f>1+O9</f>
        <v>7</v>
      </c>
    </row>
    <row r="11" ht="21.2" customHeight="1">
      <c r="B11" s="27"/>
      <c r="C11" s="35"/>
      <c r="D11" s="16">
        <v>-29.4</v>
      </c>
      <c r="E11" s="16">
        <v>-7.1</v>
      </c>
      <c r="F11" s="16"/>
      <c r="G11" s="16"/>
      <c r="H11" s="16"/>
      <c r="I11" s="16">
        <v>439.5</v>
      </c>
      <c r="J11" s="36">
        <f>D11+E11+F11</f>
        <v>-36.5</v>
      </c>
      <c r="K11" s="36">
        <f>AVERAGE(J8:J11)</f>
        <v>-12.05</v>
      </c>
      <c r="L11" s="16"/>
      <c r="M11" s="16">
        <f>-(I11-F11)+M10</f>
        <v>-439.5</v>
      </c>
      <c r="N11" s="16"/>
      <c r="O11" s="16">
        <f>1+O10</f>
        <v>8</v>
      </c>
    </row>
    <row r="12" ht="21.2" customHeight="1">
      <c r="B12" s="28">
        <v>2018</v>
      </c>
      <c r="C12" s="35"/>
      <c r="D12" s="16">
        <v>-73.40000000000001</v>
      </c>
      <c r="E12" s="16">
        <v>7.1</v>
      </c>
      <c r="F12" s="16"/>
      <c r="G12" s="16"/>
      <c r="H12" s="16"/>
      <c r="I12" s="16">
        <v>-439.5</v>
      </c>
      <c r="J12" s="36">
        <f>D12+E12+F12</f>
        <v>-66.3</v>
      </c>
      <c r="K12" s="36">
        <f>AVERAGE(J9:J12)</f>
        <v>-17.6</v>
      </c>
      <c r="L12" s="16"/>
      <c r="M12" s="16">
        <f>-(I12-F12)+M11</f>
        <v>0</v>
      </c>
      <c r="N12" s="16"/>
      <c r="O12" s="16">
        <f>1+O11</f>
        <v>9</v>
      </c>
    </row>
    <row r="13" ht="21.2" customHeight="1">
      <c r="B13" s="27"/>
      <c r="C13" s="15">
        <v>431.4</v>
      </c>
      <c r="D13" s="16">
        <v>65.3</v>
      </c>
      <c r="E13" s="16">
        <v>0</v>
      </c>
      <c r="F13" s="16"/>
      <c r="G13" s="16"/>
      <c r="H13" s="16"/>
      <c r="I13" s="16">
        <v>-90.2</v>
      </c>
      <c r="J13" s="36">
        <f>D13+E13+F13</f>
        <v>65.3</v>
      </c>
      <c r="K13" s="36">
        <f>AVERAGE(J10:J13)</f>
        <v>-3.8</v>
      </c>
      <c r="L13" s="16"/>
      <c r="M13" s="16">
        <f>-(I13-F13)+M12</f>
        <v>90.2</v>
      </c>
      <c r="N13" s="16"/>
      <c r="O13" s="16">
        <f>1+O12</f>
        <v>10</v>
      </c>
    </row>
    <row r="14" ht="21.2" customHeight="1">
      <c r="B14" s="27"/>
      <c r="C14" s="15">
        <v>218.8</v>
      </c>
      <c r="D14" s="16">
        <v>93</v>
      </c>
      <c r="E14" s="16">
        <v>0</v>
      </c>
      <c r="F14" s="16"/>
      <c r="G14" s="16"/>
      <c r="H14" s="16"/>
      <c r="I14" s="16">
        <v>-125.5</v>
      </c>
      <c r="J14" s="36">
        <f>D14+E14+F14</f>
        <v>93</v>
      </c>
      <c r="K14" s="36">
        <f>AVERAGE(J11:J14)</f>
        <v>13.875</v>
      </c>
      <c r="L14" s="16"/>
      <c r="M14" s="16">
        <f>-(I14-F14)+M13</f>
        <v>215.7</v>
      </c>
      <c r="N14" s="16"/>
      <c r="O14" s="16">
        <f>1+O13</f>
        <v>11</v>
      </c>
    </row>
    <row r="15" ht="21.2" customHeight="1">
      <c r="B15" s="27"/>
      <c r="C15" s="15">
        <v>192.2</v>
      </c>
      <c r="D15" s="16">
        <v>-6.7</v>
      </c>
      <c r="E15" s="16">
        <v>-29.3</v>
      </c>
      <c r="F15" s="16"/>
      <c r="G15" s="16"/>
      <c r="H15" s="16"/>
      <c r="I15" s="16">
        <v>-60.3</v>
      </c>
      <c r="J15" s="36">
        <f>D15+E15+F15</f>
        <v>-36</v>
      </c>
      <c r="K15" s="36">
        <f>AVERAGE(J12:J15)</f>
        <v>14</v>
      </c>
      <c r="L15" s="16"/>
      <c r="M15" s="16">
        <f>-(I15-F15)+M14</f>
        <v>276</v>
      </c>
      <c r="N15" s="16"/>
      <c r="O15" s="16">
        <f>1+O14</f>
        <v>12</v>
      </c>
    </row>
    <row r="16" ht="21.2" customHeight="1">
      <c r="B16" s="28">
        <v>2019</v>
      </c>
      <c r="C16" s="15">
        <v>110.6</v>
      </c>
      <c r="D16" s="16">
        <v>62.4</v>
      </c>
      <c r="E16" s="16">
        <v>0</v>
      </c>
      <c r="F16" s="16"/>
      <c r="G16" s="16"/>
      <c r="H16" s="16"/>
      <c r="I16" s="16">
        <v>0</v>
      </c>
      <c r="J16" s="36">
        <f>D16+E16+F16</f>
        <v>62.4</v>
      </c>
      <c r="K16" s="36">
        <f>AVERAGE(J13:J16)</f>
        <v>46.175</v>
      </c>
      <c r="L16" s="16"/>
      <c r="M16" s="16">
        <f>-(I16-F16)+M15</f>
        <v>276</v>
      </c>
      <c r="N16" s="16"/>
      <c r="O16" s="16">
        <f>1+O15</f>
        <v>13</v>
      </c>
    </row>
    <row r="17" ht="21.2" customHeight="1">
      <c r="B17" s="27"/>
      <c r="C17" s="15">
        <v>240.5</v>
      </c>
      <c r="D17" s="16">
        <v>-10.7</v>
      </c>
      <c r="E17" s="16">
        <v>0</v>
      </c>
      <c r="F17" s="16"/>
      <c r="G17" s="16"/>
      <c r="H17" s="16"/>
      <c r="I17" s="16">
        <v>0</v>
      </c>
      <c r="J17" s="36">
        <f>D17+E17+F17</f>
        <v>-10.7</v>
      </c>
      <c r="K17" s="36">
        <f>AVERAGE(J14:J17)</f>
        <v>27.175</v>
      </c>
      <c r="L17" s="16"/>
      <c r="M17" s="16">
        <f>-(I17-F17)+M16</f>
        <v>276</v>
      </c>
      <c r="N17" s="16"/>
      <c r="O17" s="16">
        <f>1+O16</f>
        <v>14</v>
      </c>
    </row>
    <row r="18" ht="21.2" customHeight="1">
      <c r="B18" s="27"/>
      <c r="C18" s="15">
        <v>221.8</v>
      </c>
      <c r="D18" s="16">
        <v>0</v>
      </c>
      <c r="E18" s="16">
        <v>0</v>
      </c>
      <c r="F18" s="16"/>
      <c r="G18" s="16"/>
      <c r="H18" s="16"/>
      <c r="I18" s="16">
        <v>0</v>
      </c>
      <c r="J18" s="36">
        <f>D18+E18+F18</f>
        <v>0</v>
      </c>
      <c r="K18" s="36">
        <f>AVERAGE(J15:J18)</f>
        <v>3.925</v>
      </c>
      <c r="L18" s="16"/>
      <c r="M18" s="16">
        <f>-(I18-F18)+M17</f>
        <v>276</v>
      </c>
      <c r="N18" s="16"/>
      <c r="O18" s="16">
        <f>1+O17</f>
        <v>15</v>
      </c>
    </row>
    <row r="19" ht="21.2" customHeight="1">
      <c r="B19" s="27"/>
      <c r="C19" s="15">
        <v>787.4</v>
      </c>
      <c r="D19" s="16">
        <v>247.6</v>
      </c>
      <c r="E19" s="16">
        <v>-76.7</v>
      </c>
      <c r="F19" s="16"/>
      <c r="G19" s="16"/>
      <c r="H19" s="16"/>
      <c r="I19" s="16">
        <v>-39.6</v>
      </c>
      <c r="J19" s="36">
        <f>D19+E19+F19</f>
        <v>170.9</v>
      </c>
      <c r="K19" s="36">
        <f>AVERAGE(J16:J19)</f>
        <v>55.65</v>
      </c>
      <c r="L19" s="16"/>
      <c r="M19" s="16">
        <f>-(I19-F19)+M18</f>
        <v>315.6</v>
      </c>
      <c r="N19" s="16"/>
      <c r="O19" s="16">
        <f>1+O18</f>
        <v>16</v>
      </c>
    </row>
    <row r="20" ht="21.2" customHeight="1">
      <c r="B20" s="28">
        <v>2020</v>
      </c>
      <c r="C20" s="15">
        <v>132.9</v>
      </c>
      <c r="D20" s="16">
        <v>51.4</v>
      </c>
      <c r="E20" s="16">
        <v>-9.699999999999999</v>
      </c>
      <c r="F20" s="16">
        <v>-9.5</v>
      </c>
      <c r="G20" s="16"/>
      <c r="H20" s="16"/>
      <c r="I20" s="16">
        <v>-12.2</v>
      </c>
      <c r="J20" s="36">
        <f>D20+E20+F20</f>
        <v>32.2</v>
      </c>
      <c r="K20" s="36">
        <f>AVERAGE(J17:J20)</f>
        <v>48.1</v>
      </c>
      <c r="L20" s="16"/>
      <c r="M20" s="16">
        <f>-(I20-F20)+M19</f>
        <v>318.3</v>
      </c>
      <c r="N20" s="16"/>
      <c r="O20" s="16">
        <f>1+O19</f>
        <v>17</v>
      </c>
    </row>
    <row r="21" ht="21.2" customHeight="1">
      <c r="B21" s="27"/>
      <c r="C21" s="15">
        <v>212.6</v>
      </c>
      <c r="D21" s="16">
        <v>50.8</v>
      </c>
      <c r="E21" s="16">
        <v>-0.9</v>
      </c>
      <c r="F21" s="16">
        <v>-9.5</v>
      </c>
      <c r="G21" s="16"/>
      <c r="H21" s="16"/>
      <c r="I21" s="16">
        <v>-0.5</v>
      </c>
      <c r="J21" s="36">
        <f>D21+E21+F21</f>
        <v>40.4</v>
      </c>
      <c r="K21" s="36">
        <f>AVERAGE(J18:J21)</f>
        <v>60.875</v>
      </c>
      <c r="L21" s="16"/>
      <c r="M21" s="16">
        <f>-(I21-F21)+M20</f>
        <v>309.3</v>
      </c>
      <c r="N21" s="16"/>
      <c r="O21" s="16">
        <f>1+O20</f>
        <v>18</v>
      </c>
    </row>
    <row r="22" ht="21.2" customHeight="1">
      <c r="B22" s="27"/>
      <c r="C22" s="15">
        <v>161.1</v>
      </c>
      <c r="D22" s="16">
        <v>69.59999999999999</v>
      </c>
      <c r="E22" s="16">
        <v>0</v>
      </c>
      <c r="F22" s="16">
        <v>-9.5</v>
      </c>
      <c r="G22" s="16"/>
      <c r="H22" s="16"/>
      <c r="I22" s="16">
        <v>-52.8</v>
      </c>
      <c r="J22" s="36">
        <f>D22+E22+F22</f>
        <v>60.1</v>
      </c>
      <c r="K22" s="36">
        <f>AVERAGE(J19:J22)</f>
        <v>75.90000000000001</v>
      </c>
      <c r="L22" s="16"/>
      <c r="M22" s="16">
        <f>-(I22-F22)+M21</f>
        <v>352.6</v>
      </c>
      <c r="N22" s="16"/>
      <c r="O22" s="16">
        <f>1+O21</f>
        <v>19</v>
      </c>
    </row>
    <row r="23" ht="21.2" customHeight="1">
      <c r="B23" s="27"/>
      <c r="C23" s="37">
        <f>681.5-SUM(C20:C22)</f>
        <v>174.9</v>
      </c>
      <c r="D23" s="36">
        <f>225.6-SUM(D20:D22)</f>
        <v>53.8</v>
      </c>
      <c r="E23" s="36">
        <f>-1.8-SUM(E20:E22)</f>
        <v>8.800000000000001</v>
      </c>
      <c r="F23" s="16">
        <v>-9.5</v>
      </c>
      <c r="G23" s="36"/>
      <c r="H23" s="36"/>
      <c r="I23" s="36">
        <f>-113.8-SUM(I20:I22)</f>
        <v>-48.3</v>
      </c>
      <c r="J23" s="36">
        <f>D23+E23+F23</f>
        <v>53.1</v>
      </c>
      <c r="K23" s="36">
        <f>AVERAGE(J20:J23)</f>
        <v>46.45</v>
      </c>
      <c r="L23" s="16"/>
      <c r="M23" s="16">
        <f>-(I23-F23)+M22</f>
        <v>391.4</v>
      </c>
      <c r="N23" s="16"/>
      <c r="O23" s="16">
        <f>1+O22</f>
        <v>20</v>
      </c>
    </row>
    <row r="24" ht="21.2" customHeight="1">
      <c r="B24" s="28">
        <v>2021</v>
      </c>
      <c r="C24" s="37">
        <v>167</v>
      </c>
      <c r="D24" s="36">
        <v>62.7</v>
      </c>
      <c r="E24" s="36">
        <v>-106.5</v>
      </c>
      <c r="F24" s="36">
        <v>-7.4</v>
      </c>
      <c r="G24" s="36">
        <v>0</v>
      </c>
      <c r="H24" s="36">
        <v>0</v>
      </c>
      <c r="I24" s="36">
        <f>-7.4</f>
        <v>-7.4</v>
      </c>
      <c r="J24" s="36">
        <f>D24+E24+F24</f>
        <v>-51.2</v>
      </c>
      <c r="K24" s="36">
        <f>AVERAGE(J21:J24)</f>
        <v>25.6</v>
      </c>
      <c r="L24" s="16"/>
      <c r="M24" s="16">
        <f>-(I24-F24)+M23</f>
        <v>391.4</v>
      </c>
      <c r="N24" s="16"/>
      <c r="O24" s="16">
        <f>1+O23</f>
        <v>21</v>
      </c>
    </row>
    <row r="25" ht="21.2" customHeight="1">
      <c r="B25" s="27"/>
      <c r="C25" s="37">
        <f>361.3-C24</f>
        <v>194.3</v>
      </c>
      <c r="D25" s="36">
        <f>78-D24</f>
        <v>15.3</v>
      </c>
      <c r="E25" s="36">
        <f>-106.5-E24</f>
        <v>0</v>
      </c>
      <c r="F25" s="36">
        <f>0-F24</f>
        <v>7.4</v>
      </c>
      <c r="G25" s="36">
        <v>0</v>
      </c>
      <c r="H25" s="36">
        <v>0</v>
      </c>
      <c r="I25" s="36">
        <f>0-I24</f>
        <v>7.4</v>
      </c>
      <c r="J25" s="36">
        <f>D25+E25+F25</f>
        <v>22.7</v>
      </c>
      <c r="K25" s="36">
        <f>AVERAGE(J22:J25)</f>
        <v>21.175</v>
      </c>
      <c r="L25" s="16"/>
      <c r="M25" s="16">
        <f>-(I25-F25)+M24</f>
        <v>391.4</v>
      </c>
      <c r="N25" s="16"/>
      <c r="O25" s="16">
        <f>1+O24</f>
        <v>22</v>
      </c>
    </row>
    <row r="26" ht="21.2" customHeight="1">
      <c r="B26" s="27"/>
      <c r="C26" s="37">
        <f>580-SUM(C24:C25)</f>
        <v>218.7</v>
      </c>
      <c r="D26" s="36">
        <f>166.9-SUM(D24:D25)</f>
        <v>88.90000000000001</v>
      </c>
      <c r="E26" s="36">
        <f>-118.6-SUM(E24:E25)</f>
        <v>-12.1</v>
      </c>
      <c r="F26" s="36">
        <f>0-SUM(F24:F25)</f>
        <v>0</v>
      </c>
      <c r="G26" s="36">
        <v>0</v>
      </c>
      <c r="H26" s="36">
        <v>-54</v>
      </c>
      <c r="I26" s="36">
        <f>-53.63-SUM(I24:I25)</f>
        <v>-53.63</v>
      </c>
      <c r="J26" s="36">
        <f>D26+E26+F26</f>
        <v>76.8</v>
      </c>
      <c r="K26" s="36">
        <f>AVERAGE(J23:J26)</f>
        <v>25.35</v>
      </c>
      <c r="L26" s="16"/>
      <c r="M26" s="16">
        <f>-(I26-F26)+M25</f>
        <v>445.03</v>
      </c>
      <c r="N26" s="16"/>
      <c r="O26" s="16">
        <f>1+O25</f>
        <v>23</v>
      </c>
    </row>
    <row r="27" ht="21.2" customHeight="1">
      <c r="B27" s="27"/>
      <c r="C27" s="37">
        <f>861.1-SUM(C24:C26)</f>
        <v>281.1</v>
      </c>
      <c r="D27" s="36">
        <f>303.4-SUM(D24:D26)</f>
        <v>136.5</v>
      </c>
      <c r="E27" s="36">
        <f>-106.5-SUM(E24:E26)</f>
        <v>12.1</v>
      </c>
      <c r="F27" s="36">
        <f>-45.7-SUM(F24:F26)</f>
        <v>-45.7</v>
      </c>
      <c r="G27" s="36">
        <v>0</v>
      </c>
      <c r="H27" s="36">
        <f>-71.8-SUM(H24:H26)</f>
        <v>-17.8</v>
      </c>
      <c r="I27" s="36">
        <f>-117.5-SUM(I24:I26)</f>
        <v>-63.87</v>
      </c>
      <c r="J27" s="36">
        <f>D27+E27+F27</f>
        <v>102.9</v>
      </c>
      <c r="K27" s="36">
        <f>AVERAGE(J24:J27)</f>
        <v>37.8</v>
      </c>
      <c r="L27" s="16"/>
      <c r="M27" s="16">
        <f>-(I27-F27)+M26</f>
        <v>463.2</v>
      </c>
      <c r="N27" s="16"/>
      <c r="O27" s="16">
        <f>1+O26</f>
        <v>24</v>
      </c>
    </row>
    <row r="28" ht="21.2" customHeight="1">
      <c r="B28" s="28">
        <v>2022</v>
      </c>
      <c r="C28" s="37">
        <v>200.3</v>
      </c>
      <c r="D28" s="36">
        <v>60.8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f>D28+E28+F28</f>
        <v>60.8</v>
      </c>
      <c r="K28" s="36">
        <f>AVERAGE(J25:J28)</f>
        <v>65.8</v>
      </c>
      <c r="L28" s="16">
        <v>53.929976849218</v>
      </c>
      <c r="M28" s="16">
        <f>-(I28-F28)+M27</f>
        <v>463.2</v>
      </c>
      <c r="N28" s="16">
        <v>595.906724786988</v>
      </c>
      <c r="O28" s="16">
        <f>1+O27</f>
        <v>25</v>
      </c>
    </row>
    <row r="29" ht="21.2" customHeight="1">
      <c r="B29" s="27"/>
      <c r="C29" s="37"/>
      <c r="D29" s="36"/>
      <c r="E29" s="36"/>
      <c r="F29" s="36"/>
      <c r="G29" s="36"/>
      <c r="H29" s="36"/>
      <c r="I29" s="36"/>
      <c r="J29" s="36"/>
      <c r="K29" s="19"/>
      <c r="L29" s="36">
        <f>SUM('Model'!F9:F11)</f>
        <v>62.025371280606</v>
      </c>
      <c r="M29" s="19"/>
      <c r="N29" s="16">
        <f>'Model'!F34</f>
        <v>700.467959630677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8" customWidth="1"/>
    <col min="2" max="11" width="9.21875" style="38" customWidth="1"/>
    <col min="12" max="16384" width="16.3516" style="38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43</v>
      </c>
      <c r="C3" t="s" s="5">
        <v>51</v>
      </c>
      <c r="D3" t="s" s="5">
        <v>52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53</v>
      </c>
      <c r="J3" t="s" s="5">
        <v>27</v>
      </c>
      <c r="K3" t="s" s="5">
        <v>35</v>
      </c>
    </row>
    <row r="4" ht="20.25" customHeight="1">
      <c r="B4" s="24">
        <v>2018</v>
      </c>
      <c r="C4" s="39">
        <v>408</v>
      </c>
      <c r="D4" s="33">
        <v>1407</v>
      </c>
      <c r="E4" s="33">
        <f>D4-C4</f>
        <v>999</v>
      </c>
      <c r="F4" s="33">
        <v>21</v>
      </c>
      <c r="G4" s="33">
        <v>368</v>
      </c>
      <c r="H4" s="33">
        <v>1038</v>
      </c>
      <c r="I4" s="33">
        <f>G4+H4-C4-E4</f>
        <v>-1</v>
      </c>
      <c r="J4" s="33">
        <f>C4-G4</f>
        <v>40</v>
      </c>
      <c r="K4" s="33"/>
    </row>
    <row r="5" ht="20.05" customHeight="1">
      <c r="B5" s="27"/>
      <c r="C5" s="15">
        <v>464</v>
      </c>
      <c r="D5" s="16">
        <v>1309</v>
      </c>
      <c r="E5" s="16">
        <f>D5-C5</f>
        <v>845</v>
      </c>
      <c r="F5" s="16">
        <v>28</v>
      </c>
      <c r="G5" s="16">
        <v>280</v>
      </c>
      <c r="H5" s="16">
        <v>1029</v>
      </c>
      <c r="I5" s="16">
        <f>G5+H5-C5-E5</f>
        <v>0</v>
      </c>
      <c r="J5" s="16">
        <f>C5-G5</f>
        <v>184</v>
      </c>
      <c r="K5" s="16"/>
    </row>
    <row r="6" ht="20.05" customHeight="1">
      <c r="B6" s="27"/>
      <c r="C6" s="15">
        <v>431</v>
      </c>
      <c r="D6" s="16">
        <v>1277</v>
      </c>
      <c r="E6" s="16">
        <f>D6-C6</f>
        <v>846</v>
      </c>
      <c r="F6" s="16">
        <v>35</v>
      </c>
      <c r="G6" s="16">
        <v>218</v>
      </c>
      <c r="H6" s="16">
        <v>1059</v>
      </c>
      <c r="I6" s="16">
        <f>G6+H6-C6-E6</f>
        <v>0</v>
      </c>
      <c r="J6" s="16">
        <f>C6-G6</f>
        <v>213</v>
      </c>
      <c r="K6" s="16"/>
    </row>
    <row r="7" ht="20.05" customHeight="1">
      <c r="B7" s="27"/>
      <c r="C7" s="15">
        <v>335</v>
      </c>
      <c r="D7" s="16">
        <v>1159</v>
      </c>
      <c r="E7" s="16">
        <f>D7-C7</f>
        <v>824</v>
      </c>
      <c r="F7" s="16">
        <v>43</v>
      </c>
      <c r="G7" s="16">
        <v>118</v>
      </c>
      <c r="H7" s="16">
        <v>1041</v>
      </c>
      <c r="I7" s="16">
        <f>G7+H7-C7-E7</f>
        <v>0</v>
      </c>
      <c r="J7" s="16">
        <f>C7-G7</f>
        <v>217</v>
      </c>
      <c r="K7" s="16"/>
    </row>
    <row r="8" ht="20.05" customHeight="1">
      <c r="B8" s="28">
        <v>2019</v>
      </c>
      <c r="C8" s="15">
        <v>397</v>
      </c>
      <c r="D8" s="16">
        <v>1188</v>
      </c>
      <c r="E8" s="16">
        <f>D8-C8</f>
        <v>791</v>
      </c>
      <c r="F8" s="16">
        <v>50</v>
      </c>
      <c r="G8" s="16">
        <v>114</v>
      </c>
      <c r="H8" s="16">
        <v>1074</v>
      </c>
      <c r="I8" s="16">
        <f>G8+H8-C8-E8</f>
        <v>0</v>
      </c>
      <c r="J8" s="16">
        <f>C8-G8</f>
        <v>283</v>
      </c>
      <c r="K8" s="16"/>
    </row>
    <row r="9" ht="20.05" customHeight="1">
      <c r="B9" s="27"/>
      <c r="C9" s="15">
        <v>387</v>
      </c>
      <c r="D9" s="16">
        <v>1282</v>
      </c>
      <c r="E9" s="16">
        <f>D9-C9</f>
        <v>895</v>
      </c>
      <c r="F9" s="16">
        <v>57</v>
      </c>
      <c r="G9" s="16">
        <v>227</v>
      </c>
      <c r="H9" s="16">
        <v>1055</v>
      </c>
      <c r="I9" s="16">
        <f>G9+H9-C9-E9</f>
        <v>0</v>
      </c>
      <c r="J9" s="16">
        <f>C9-G9</f>
        <v>160</v>
      </c>
      <c r="K9" s="16"/>
    </row>
    <row r="10" ht="20.05" customHeight="1">
      <c r="B10" s="27"/>
      <c r="C10" s="15">
        <v>379</v>
      </c>
      <c r="D10" s="16">
        <v>1180</v>
      </c>
      <c r="E10" s="16">
        <f>D10-C10</f>
        <v>801</v>
      </c>
      <c r="F10" s="16">
        <v>64</v>
      </c>
      <c r="G10" s="16">
        <v>106</v>
      </c>
      <c r="H10" s="16">
        <v>1074</v>
      </c>
      <c r="I10" s="16">
        <f>G10+H10-C10-E10</f>
        <v>0</v>
      </c>
      <c r="J10" s="16">
        <f>C10-G10</f>
        <v>273</v>
      </c>
      <c r="K10" s="16"/>
    </row>
    <row r="11" ht="20.05" customHeight="1">
      <c r="B11" s="27"/>
      <c r="C11" s="15">
        <v>466</v>
      </c>
      <c r="D11" s="16">
        <v>1279</v>
      </c>
      <c r="E11" s="16">
        <f>D11-C11</f>
        <v>813</v>
      </c>
      <c r="F11" s="16">
        <f>73</f>
        <v>73</v>
      </c>
      <c r="G11" s="16">
        <v>200</v>
      </c>
      <c r="H11" s="16">
        <v>1079</v>
      </c>
      <c r="I11" s="16">
        <f>G11+H11-C11-E11</f>
        <v>0</v>
      </c>
      <c r="J11" s="16">
        <f>C11-G11</f>
        <v>266</v>
      </c>
      <c r="K11" s="16"/>
    </row>
    <row r="12" ht="20.05" customHeight="1">
      <c r="B12" s="28">
        <v>2020</v>
      </c>
      <c r="C12" s="15">
        <v>496</v>
      </c>
      <c r="D12" s="16">
        <v>1394</v>
      </c>
      <c r="E12" s="16">
        <f>D12-C12</f>
        <v>898</v>
      </c>
      <c r="F12" s="16">
        <f>1+81</f>
        <v>82</v>
      </c>
      <c r="G12" s="16">
        <v>283</v>
      </c>
      <c r="H12" s="16">
        <v>1112</v>
      </c>
      <c r="I12" s="16">
        <f>G12+H12-C12-E12</f>
        <v>1</v>
      </c>
      <c r="J12" s="16">
        <f>C12-G12</f>
        <v>213</v>
      </c>
      <c r="K12" s="16"/>
    </row>
    <row r="13" ht="20.05" customHeight="1">
      <c r="B13" s="27"/>
      <c r="C13" s="15">
        <v>545</v>
      </c>
      <c r="D13" s="16">
        <v>1414</v>
      </c>
      <c r="E13" s="16">
        <f>D13-C13</f>
        <v>869</v>
      </c>
      <c r="F13" s="16">
        <f>6+88</f>
        <v>94</v>
      </c>
      <c r="G13" s="16">
        <v>281</v>
      </c>
      <c r="H13" s="16">
        <v>1133</v>
      </c>
      <c r="I13" s="16">
        <f>G13+H13-C13-E13</f>
        <v>0</v>
      </c>
      <c r="J13" s="16">
        <f>C13-G13</f>
        <v>264</v>
      </c>
      <c r="K13" s="16"/>
    </row>
    <row r="14" ht="20.05" customHeight="1">
      <c r="B14" s="27"/>
      <c r="C14" s="15">
        <v>562</v>
      </c>
      <c r="D14" s="16">
        <v>1373</v>
      </c>
      <c r="E14" s="16">
        <f>D14-C14</f>
        <v>811</v>
      </c>
      <c r="F14" s="16">
        <f>95+16</f>
        <v>111</v>
      </c>
      <c r="G14" s="16">
        <v>277</v>
      </c>
      <c r="H14" s="16">
        <v>1096</v>
      </c>
      <c r="I14" s="16">
        <f>G14+H14-C14-E14</f>
        <v>0</v>
      </c>
      <c r="J14" s="16">
        <f>C14-G14</f>
        <v>285</v>
      </c>
      <c r="K14" s="16"/>
    </row>
    <row r="15" ht="20.05" customHeight="1">
      <c r="B15" s="27"/>
      <c r="C15" s="15">
        <v>576</v>
      </c>
      <c r="D15" s="16">
        <v>1408</v>
      </c>
      <c r="E15" s="16">
        <f>D15-C15</f>
        <v>832</v>
      </c>
      <c r="F15" s="16">
        <f>42+103</f>
        <v>145</v>
      </c>
      <c r="G15" s="16">
        <v>316</v>
      </c>
      <c r="H15" s="16">
        <v>1092</v>
      </c>
      <c r="I15" s="16">
        <f>G15+H15-C15-E15</f>
        <v>0</v>
      </c>
      <c r="J15" s="16">
        <f>C15-G15</f>
        <v>260</v>
      </c>
      <c r="K15" s="16"/>
    </row>
    <row r="16" ht="20.05" customHeight="1">
      <c r="B16" s="28">
        <v>2021</v>
      </c>
      <c r="C16" s="15">
        <v>525</v>
      </c>
      <c r="D16" s="16">
        <v>1364</v>
      </c>
      <c r="E16" s="16">
        <f>D16-C16</f>
        <v>839</v>
      </c>
      <c r="F16" s="16">
        <f>11+110</f>
        <v>121</v>
      </c>
      <c r="G16" s="16">
        <v>239</v>
      </c>
      <c r="H16" s="16">
        <v>1125</v>
      </c>
      <c r="I16" s="16">
        <f>G16+H16-C16-E16</f>
        <v>0</v>
      </c>
      <c r="J16" s="16">
        <f>C16-G16</f>
        <v>286</v>
      </c>
      <c r="K16" s="16"/>
    </row>
    <row r="17" ht="20.05" customHeight="1">
      <c r="B17" s="27"/>
      <c r="C17" s="15">
        <v>548</v>
      </c>
      <c r="D17" s="16">
        <v>1420</v>
      </c>
      <c r="E17" s="16">
        <f>D17-C17</f>
        <v>872</v>
      </c>
      <c r="F17" s="16">
        <f>120+59</f>
        <v>179</v>
      </c>
      <c r="G17" s="16">
        <v>322</v>
      </c>
      <c r="H17" s="16">
        <v>1098</v>
      </c>
      <c r="I17" s="16">
        <f>G17+H17-C17-E17</f>
        <v>0</v>
      </c>
      <c r="J17" s="16">
        <f>C17-G17</f>
        <v>226</v>
      </c>
      <c r="K17" s="16"/>
    </row>
    <row r="18" ht="20.05" customHeight="1">
      <c r="B18" s="27"/>
      <c r="C18" s="15">
        <v>571</v>
      </c>
      <c r="D18" s="16">
        <v>1426</v>
      </c>
      <c r="E18" s="16">
        <f>D18-C18</f>
        <v>855</v>
      </c>
      <c r="F18" s="16">
        <f>66+123</f>
        <v>189</v>
      </c>
      <c r="G18" s="16">
        <v>297</v>
      </c>
      <c r="H18" s="16">
        <v>1129</v>
      </c>
      <c r="I18" s="16">
        <f>G18+H18-C18-E18</f>
        <v>0</v>
      </c>
      <c r="J18" s="16">
        <f>C18-G18</f>
        <v>274</v>
      </c>
      <c r="K18" s="16"/>
    </row>
    <row r="19" ht="20.05" customHeight="1">
      <c r="B19" s="27"/>
      <c r="C19" s="15">
        <v>656</v>
      </c>
      <c r="D19" s="16">
        <v>1428</v>
      </c>
      <c r="E19" s="16">
        <f>D19-C19</f>
        <v>772</v>
      </c>
      <c r="F19" s="16">
        <f>144+85</f>
        <v>229</v>
      </c>
      <c r="G19" s="16">
        <v>272</v>
      </c>
      <c r="H19" s="16">
        <v>1156</v>
      </c>
      <c r="I19" s="16">
        <f>G19+H19-C19-E19</f>
        <v>0</v>
      </c>
      <c r="J19" s="16">
        <f>C19-G19</f>
        <v>384</v>
      </c>
      <c r="K19" s="16"/>
    </row>
    <row r="20" ht="20.05" customHeight="1">
      <c r="B20" s="28">
        <v>2022</v>
      </c>
      <c r="C20" s="15">
        <v>716</v>
      </c>
      <c r="D20" s="16">
        <v>1509</v>
      </c>
      <c r="E20" s="16">
        <f>D20-C20</f>
        <v>793</v>
      </c>
      <c r="F20" s="16">
        <f>91+152</f>
        <v>243</v>
      </c>
      <c r="G20" s="16">
        <v>315</v>
      </c>
      <c r="H20" s="16">
        <v>1194</v>
      </c>
      <c r="I20" s="16">
        <f>G20+H20-C20-E20</f>
        <v>0</v>
      </c>
      <c r="J20" s="16">
        <f>C20-G20</f>
        <v>401</v>
      </c>
      <c r="K20" s="16">
        <v>545.6</v>
      </c>
    </row>
    <row r="21" ht="20.05" customHeight="1">
      <c r="B21" s="27"/>
      <c r="C21" s="15"/>
      <c r="D21" s="16"/>
      <c r="E21" s="16"/>
      <c r="F21" s="16"/>
      <c r="G21" s="16"/>
      <c r="H21" s="16"/>
      <c r="I21" s="16"/>
      <c r="J21" s="16"/>
      <c r="K21" s="16">
        <f>'Model'!F32</f>
        <v>464.6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40" customWidth="1"/>
    <col min="2" max="5" width="9.9375" style="40" customWidth="1"/>
    <col min="6" max="16384" width="16.3516" style="40" customWidth="1"/>
  </cols>
  <sheetData>
    <row r="1" ht="30.75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41">
        <v>55</v>
      </c>
      <c r="D3" t="s" s="41">
        <v>38</v>
      </c>
      <c r="E3" t="s" s="41">
        <v>56</v>
      </c>
    </row>
    <row r="4" ht="20.25" customHeight="1">
      <c r="B4" s="24">
        <v>2018</v>
      </c>
      <c r="C4" s="42">
        <v>418</v>
      </c>
      <c r="D4" s="8"/>
      <c r="E4" s="8"/>
    </row>
    <row r="5" ht="20.05" customHeight="1">
      <c r="B5" s="27"/>
      <c r="C5" s="43">
        <v>432</v>
      </c>
      <c r="D5" s="19"/>
      <c r="E5" s="19"/>
    </row>
    <row r="6" ht="20.05" customHeight="1">
      <c r="B6" s="27"/>
      <c r="C6" s="43">
        <v>440</v>
      </c>
      <c r="D6" s="19"/>
      <c r="E6" s="19"/>
    </row>
    <row r="7" ht="20.05" customHeight="1">
      <c r="B7" s="27"/>
      <c r="C7" s="43">
        <v>490</v>
      </c>
      <c r="D7" s="19"/>
      <c r="E7" s="19"/>
    </row>
    <row r="8" ht="20.05" customHeight="1">
      <c r="B8" s="28">
        <v>2019</v>
      </c>
      <c r="C8" s="43">
        <v>388</v>
      </c>
      <c r="D8" s="19"/>
      <c r="E8" s="19"/>
    </row>
    <row r="9" ht="20.05" customHeight="1">
      <c r="B9" s="27"/>
      <c r="C9" s="43">
        <v>256</v>
      </c>
      <c r="D9" s="19"/>
      <c r="E9" s="19"/>
    </row>
    <row r="10" ht="20.05" customHeight="1">
      <c r="B10" s="27"/>
      <c r="C10" s="43">
        <v>232</v>
      </c>
      <c r="D10" s="19"/>
      <c r="E10" s="19"/>
    </row>
    <row r="11" ht="20.05" customHeight="1">
      <c r="B11" s="27"/>
      <c r="C11" s="43">
        <v>175</v>
      </c>
      <c r="D11" s="19"/>
      <c r="E11" s="19"/>
    </row>
    <row r="12" ht="20.05" customHeight="1">
      <c r="B12" s="28">
        <v>2020</v>
      </c>
      <c r="C12" s="43">
        <v>118</v>
      </c>
      <c r="D12" s="19"/>
      <c r="E12" s="19"/>
    </row>
    <row r="13" ht="20.05" customHeight="1">
      <c r="B13" s="27"/>
      <c r="C13" s="43">
        <v>202</v>
      </c>
      <c r="D13" s="19"/>
      <c r="E13" s="19"/>
    </row>
    <row r="14" ht="20.05" customHeight="1">
      <c r="B14" s="27"/>
      <c r="C14" s="43">
        <v>236</v>
      </c>
      <c r="D14" s="19"/>
      <c r="E14" s="19"/>
    </row>
    <row r="15" ht="20.05" customHeight="1">
      <c r="B15" s="27"/>
      <c r="C15" s="43">
        <v>356</v>
      </c>
      <c r="D15" s="19"/>
      <c r="E15" s="19"/>
    </row>
    <row r="16" ht="20.05" customHeight="1">
      <c r="B16" s="28">
        <v>2021</v>
      </c>
      <c r="C16" s="15">
        <v>289.180847</v>
      </c>
      <c r="D16" s="44"/>
      <c r="E16" s="44"/>
    </row>
    <row r="17" ht="20.05" customHeight="1">
      <c r="B17" s="27"/>
      <c r="C17" s="15">
        <v>280</v>
      </c>
      <c r="D17" s="44"/>
      <c r="E17" s="44"/>
    </row>
    <row r="18" ht="20.05" customHeight="1">
      <c r="B18" s="27"/>
      <c r="C18" s="15">
        <v>408</v>
      </c>
      <c r="D18" s="44"/>
      <c r="E18" s="44"/>
    </row>
    <row r="19" ht="20.05" customHeight="1">
      <c r="B19" s="27"/>
      <c r="C19" s="15">
        <v>294</v>
      </c>
      <c r="D19" s="19"/>
      <c r="E19" s="19"/>
    </row>
    <row r="20" ht="20.05" customHeight="1">
      <c r="B20" s="28">
        <v>2022</v>
      </c>
      <c r="C20" s="15">
        <v>316</v>
      </c>
      <c r="D20" s="45">
        <v>734.589301987627</v>
      </c>
      <c r="E20" s="19"/>
    </row>
    <row r="21" ht="20.05" customHeight="1">
      <c r="B21" s="27"/>
      <c r="C21" s="15">
        <v>286</v>
      </c>
      <c r="D21" s="45">
        <v>563.277627974417</v>
      </c>
      <c r="E21" s="19"/>
    </row>
    <row r="22" ht="20.05" customHeight="1">
      <c r="B22" s="27"/>
      <c r="C22" s="15"/>
      <c r="D22" s="46">
        <f>'Model'!F45</f>
        <v>551.331449967511</v>
      </c>
      <c r="E22" s="4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