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<sst xmlns="http://schemas.openxmlformats.org/spreadsheetml/2006/main" uniqueCount="57">
  <si>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</si>
  <si>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</si>
  <si>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</si>
  <si>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</si>
  <si>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</si>
  <si>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</si>
  <si>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</si>
  <si>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</si>
  <si>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</si>
  <si>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</si>
  <si>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</si>
  <si>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</si>
  <si>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</si>
  <si>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</si>
  <si>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</si>
  <si>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</si>
  <si>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</si>
  <si>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</si>
  <si>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</si>
  <si>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</si>
  <si>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</si>
  <si>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</si>
  <si>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</si>
  <si>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</si>
  <si>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</si>
  <si>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</si>
  <si>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</si>
  <si>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</si>
  <si>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</si>
  <si>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</si>
  <si>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>Capital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</si>
  <si>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</si>
  <si>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</si>
  <si>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</si>
  <si>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</si>
  <si>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</si>
  <si>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</si>
  <si>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</si>
  <si>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</si>
  <si>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</si>
  <si>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>Current</t>
  </si>
  <si>
    <t xml:space="preserve">V target </t>
  </si>
  <si>
    <t xml:space="preserve">12 month growth </t>
  </si>
  <si>
    <t xml:space="preserve">Sales forecast </t>
  </si>
  <si>
    <t xml:space="preserve">Rpbn </t>
  </si>
  <si>
    <t>Lease</t>
  </si>
  <si>
    <t xml:space="preserve">Sales growth </t>
  </si>
  <si>
    <t xml:space="preserve">Receipts </t>
  </si>
  <si>
    <t xml:space="preserve">Operating </t>
  </si>
  <si>
    <t xml:space="preserve">Investment </t>
  </si>
  <si>
    <t>Liabilities</t>
  </si>
  <si>
    <t xml:space="preserve">Free cashflow </t>
  </si>
  <si>
    <t>Cash</t>
  </si>
  <si>
    <t>Assets</t>
  </si>
  <si>
    <t>Net cash</t>
  </si>
  <si>
    <t>IPCC</t>
  </si>
  <si>
    <t>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</si>
</sst>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%_);[Red]\(#,##0%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4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391452</xdr:colOff>
      <xdr:row>1</xdr:row>
      <xdr:rowOff>48424</xdr:rowOff>
    </xdr:from>
    <xdr:to>
      <xdr:col>13</xdr:col>
      <xdr:colOff>45460</xdr:colOff>
      <xdr:row>47</xdr:row>
      <xdr:rowOff>225638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79252" y="399579"/>
          <a:ext cx="8366209" cy="118955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7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35156" style="1" customWidth="1"/>
    <col min="2" max="2" width="16.9531" style="1" customWidth="1"/>
    <col min="3" max="6" width="8.53906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25" customHeight="1">
      <c r="B2" t="s" s="3">
        <v>1</v>
      </c>
      <c r="C2" s="4"/>
      <c r="D2" s="4"/>
      <c r="E2" t="s" s="5">
        <v>2</v>
      </c>
      <c r="F2" s="4"/>
    </row>
    <row r="3" ht="20.25" customHeight="1">
      <c r="B3" t="s" s="6">
        <v>3</v>
      </c>
      <c r="C3" s="7">
        <f>AVERAGE('Sales'!H21:H24)</f>
        <v>0.0797612076030768</v>
      </c>
      <c r="D3" s="8"/>
      <c r="E3" s="8"/>
      <c r="F3" s="9">
        <f>AVERAGE(C4:F4)</f>
        <v>0.04</v>
      </c>
    </row>
    <row r="4" ht="20.05" customHeight="1">
      <c r="B4" t="s" s="10">
        <v>4</v>
      </c>
      <c r="C4" s="11">
        <v>-0.02</v>
      </c>
      <c r="D4" s="12">
        <v>0.13</v>
      </c>
      <c r="E4" s="12">
        <v>0.1</v>
      </c>
      <c r="F4" s="12">
        <v>-0.05</v>
      </c>
    </row>
    <row r="5" ht="20.05" customHeight="1">
      <c r="B5" t="s" s="10">
        <v>5</v>
      </c>
      <c r="C5" s="13">
        <f>'Sales'!C24*(1+C4)</f>
        <v>147</v>
      </c>
      <c r="D5" s="14">
        <f>C5*(1+D4)</f>
        <v>166.11</v>
      </c>
      <c r="E5" s="14">
        <f>D5*(1+E4)</f>
        <v>182.721</v>
      </c>
      <c r="F5" s="14">
        <f>E5*(1+F4)</f>
        <v>173.58495</v>
      </c>
    </row>
    <row r="6" ht="20.05" customHeight="1">
      <c r="B6" t="s" s="10">
        <v>6</v>
      </c>
      <c r="C6" s="11">
        <f>AVERAGE('Sales'!J22)</f>
        <v>-0.649325376226181</v>
      </c>
      <c r="D6" s="12">
        <f>C6</f>
        <v>-0.649325376226181</v>
      </c>
      <c r="E6" s="12">
        <f>D6</f>
        <v>-0.649325376226181</v>
      </c>
      <c r="F6" s="12">
        <f>E6</f>
        <v>-0.649325376226181</v>
      </c>
    </row>
    <row r="7" ht="20.05" customHeight="1">
      <c r="B7" t="s" s="10">
        <v>7</v>
      </c>
      <c r="C7" s="15">
        <f>C6*C5</f>
        <v>-95.4508303052486</v>
      </c>
      <c r="D7" s="16">
        <f>D6*D5</f>
        <v>-107.859438244931</v>
      </c>
      <c r="E7" s="16">
        <f>E6*E5</f>
        <v>-118.645382069424</v>
      </c>
      <c r="F7" s="16">
        <f>F6*F5</f>
        <v>-112.713112965953</v>
      </c>
    </row>
    <row r="8" ht="20.05" customHeight="1">
      <c r="B8" t="s" s="10">
        <v>8</v>
      </c>
      <c r="C8" s="15">
        <f>C5+C7</f>
        <v>51.5491696947514</v>
      </c>
      <c r="D8" s="16">
        <f>D5+D7</f>
        <v>58.250561755069</v>
      </c>
      <c r="E8" s="16">
        <f>E5+E7</f>
        <v>64.075617930576</v>
      </c>
      <c r="F8" s="16">
        <f>F5+F7</f>
        <v>60.871837034047</v>
      </c>
    </row>
    <row r="9" ht="20.05" customHeight="1">
      <c r="B9" t="s" s="10">
        <v>9</v>
      </c>
      <c r="C9" s="15">
        <f>AVERAGE('Cashflow '!E24)</f>
        <v>-4.7</v>
      </c>
      <c r="D9" s="16">
        <f>C9</f>
        <v>-4.7</v>
      </c>
      <c r="E9" s="16">
        <f>D9</f>
        <v>-4.7</v>
      </c>
      <c r="F9" s="16">
        <f>E9</f>
        <v>-4.7</v>
      </c>
    </row>
    <row r="10" ht="20.05" customHeight="1">
      <c r="B10" t="s" s="10">
        <v>10</v>
      </c>
      <c r="C10" s="15">
        <f>C11+C14+C12</f>
        <v>-46.8491696947514</v>
      </c>
      <c r="D10" s="16">
        <f>D11+D14+D12</f>
        <v>-53.550561755069</v>
      </c>
      <c r="E10" s="16">
        <f>E11+E14+E12</f>
        <v>-59.375617930576</v>
      </c>
      <c r="F10" s="16">
        <f>F11+F14+F12</f>
        <v>-51.9575627939366</v>
      </c>
    </row>
    <row r="11" ht="20.05" customHeight="1">
      <c r="B11" t="s" s="10">
        <v>11</v>
      </c>
      <c r="C11" s="15">
        <f>-'Balance sheet'!G20/20</f>
        <v>-45.95</v>
      </c>
      <c r="D11" s="16">
        <f>-C26/20</f>
        <v>-43.6525</v>
      </c>
      <c r="E11" s="16">
        <f>-D26/20</f>
        <v>-41.469875</v>
      </c>
      <c r="F11" s="16">
        <f>-E26/20</f>
        <v>-39.39638125</v>
      </c>
    </row>
    <row r="12" ht="20.05" customHeight="1">
      <c r="B12" t="s" s="10">
        <v>12</v>
      </c>
      <c r="C12" s="15">
        <f>-MIN(0,C15)</f>
        <v>7.27558121367402</v>
      </c>
      <c r="D12" s="16">
        <f>-MIN(C27,D15)</f>
        <v>0.2871067714517</v>
      </c>
      <c r="E12" s="16">
        <f>-MIN(D27,E15)</f>
        <v>-5.9730575514032</v>
      </c>
      <c r="F12" s="16">
        <f>-MIN(E27,F15)</f>
        <v>-1.58963043372252</v>
      </c>
    </row>
    <row r="13" ht="20.05" customHeight="1">
      <c r="B13" t="s" s="10">
        <v>13</v>
      </c>
      <c r="C13" s="17">
        <v>0.3</v>
      </c>
      <c r="D13" s="16"/>
      <c r="E13" s="16"/>
      <c r="F13" s="16"/>
    </row>
    <row r="14" ht="20.05" customHeight="1">
      <c r="B14" t="s" s="10">
        <v>14</v>
      </c>
      <c r="C14" s="15">
        <f>IF(C21&gt;0,-C21*$C$13,0)</f>
        <v>-8.17475090842542</v>
      </c>
      <c r="D14" s="16">
        <f>IF(D21&gt;0,-D21*$C$13,0)</f>
        <v>-10.1851685265207</v>
      </c>
      <c r="E14" s="16">
        <f>IF(E21&gt;0,-E21*$C$13,0)</f>
        <v>-11.9326853791728</v>
      </c>
      <c r="F14" s="16">
        <f>IF(F21&gt;0,-F21*$C$13,0)</f>
        <v>-10.9715511102141</v>
      </c>
    </row>
    <row r="15" ht="20.05" customHeight="1">
      <c r="B15" t="s" s="10">
        <v>15</v>
      </c>
      <c r="C15" s="15">
        <f>C8+C9+C11+C14</f>
        <v>-7.27558121367402</v>
      </c>
      <c r="D15" s="16">
        <f>D8+D9+D11+D14</f>
        <v>-0.2871067714517</v>
      </c>
      <c r="E15" s="16">
        <f>E8+E9+E11+E14</f>
        <v>5.9730575514032</v>
      </c>
      <c r="F15" s="16">
        <f>F8+F9+F11+F14</f>
        <v>5.8039046738329</v>
      </c>
    </row>
    <row r="16" ht="20.05" customHeight="1">
      <c r="B16" t="s" s="10">
        <v>16</v>
      </c>
      <c r="C16" s="15">
        <f>'Balance sheet'!C20</f>
        <v>833</v>
      </c>
      <c r="D16" s="16">
        <f>C18</f>
        <v>833</v>
      </c>
      <c r="E16" s="16">
        <f>D18</f>
        <v>833</v>
      </c>
      <c r="F16" s="16">
        <f>E18</f>
        <v>833</v>
      </c>
    </row>
    <row r="17" ht="20.05" customHeight="1">
      <c r="B17" t="s" s="10">
        <v>17</v>
      </c>
      <c r="C17" s="15">
        <f>C8+C9+C10</f>
        <v>0</v>
      </c>
      <c r="D17" s="16">
        <f>D8+D9+D10</f>
        <v>0</v>
      </c>
      <c r="E17" s="16">
        <f>E8+E9+E10</f>
        <v>0</v>
      </c>
      <c r="F17" s="16">
        <f>F8+F9+F10</f>
        <v>4.2142742401104</v>
      </c>
    </row>
    <row r="18" ht="20.05" customHeight="1">
      <c r="B18" t="s" s="10">
        <v>18</v>
      </c>
      <c r="C18" s="15">
        <f>C16+C17</f>
        <v>833</v>
      </c>
      <c r="D18" s="16">
        <f>D16+D17</f>
        <v>833</v>
      </c>
      <c r="E18" s="16">
        <f>E16+E17</f>
        <v>833</v>
      </c>
      <c r="F18" s="16">
        <f>F16+F17</f>
        <v>837.2142742401099</v>
      </c>
    </row>
    <row r="19" ht="20.05" customHeight="1">
      <c r="B19" t="s" s="18">
        <v>19</v>
      </c>
      <c r="C19" s="19"/>
      <c r="D19" s="20"/>
      <c r="E19" s="20"/>
      <c r="F19" s="21"/>
    </row>
    <row r="20" ht="20.05" customHeight="1">
      <c r="B20" t="s" s="10">
        <v>20</v>
      </c>
      <c r="C20" s="15">
        <f>-AVERAGE('Sales'!E24)</f>
        <v>-24.3</v>
      </c>
      <c r="D20" s="16">
        <f>C20</f>
        <v>-24.3</v>
      </c>
      <c r="E20" s="16">
        <f>D20</f>
        <v>-24.3</v>
      </c>
      <c r="F20" s="16">
        <f>E20</f>
        <v>-24.3</v>
      </c>
    </row>
    <row r="21" ht="20.05" customHeight="1">
      <c r="B21" t="s" s="10">
        <v>21</v>
      </c>
      <c r="C21" s="15">
        <f>C5+C7+C20</f>
        <v>27.2491696947514</v>
      </c>
      <c r="D21" s="16">
        <f>D5+D7+D20</f>
        <v>33.950561755069</v>
      </c>
      <c r="E21" s="16">
        <f>E5+E7+E20</f>
        <v>39.775617930576</v>
      </c>
      <c r="F21" s="16">
        <f>F5+F7+F20</f>
        <v>36.571837034047</v>
      </c>
    </row>
    <row r="22" ht="20.05" customHeight="1">
      <c r="B22" t="s" s="18">
        <v>22</v>
      </c>
      <c r="C22" s="19"/>
      <c r="D22" s="20"/>
      <c r="E22" s="20"/>
      <c r="F22" s="20"/>
    </row>
    <row r="23" ht="20.05" customHeight="1">
      <c r="B23" t="s" s="10">
        <v>23</v>
      </c>
      <c r="C23" s="15">
        <f>'Balance sheet'!E20+'Balance sheet'!F20-C9</f>
        <v>1483.7</v>
      </c>
      <c r="D23" s="16">
        <f>C23-D9</f>
        <v>1488.4</v>
      </c>
      <c r="E23" s="16">
        <f>D23-E9</f>
        <v>1493.1</v>
      </c>
      <c r="F23" s="16">
        <f>E23-F9</f>
        <v>1497.8</v>
      </c>
    </row>
    <row r="24" ht="20.05" customHeight="1">
      <c r="B24" t="s" s="10">
        <v>24</v>
      </c>
      <c r="C24" s="15">
        <f>'Balance sheet'!F20-C20</f>
        <v>317.3</v>
      </c>
      <c r="D24" s="16">
        <f>C24-D20</f>
        <v>341.6</v>
      </c>
      <c r="E24" s="16">
        <f>D24-E20</f>
        <v>365.9</v>
      </c>
      <c r="F24" s="16">
        <f>E24-F20</f>
        <v>390.2</v>
      </c>
    </row>
    <row r="25" ht="20.05" customHeight="1">
      <c r="B25" t="s" s="10">
        <v>25</v>
      </c>
      <c r="C25" s="15">
        <f>C23-C24</f>
        <v>1166.4</v>
      </c>
      <c r="D25" s="16">
        <f>D23-D24</f>
        <v>1146.8</v>
      </c>
      <c r="E25" s="16">
        <f>E23-E24</f>
        <v>1127.2</v>
      </c>
      <c r="F25" s="16">
        <f>F23-F24</f>
        <v>1107.6</v>
      </c>
    </row>
    <row r="26" ht="20.05" customHeight="1">
      <c r="B26" t="s" s="10">
        <v>11</v>
      </c>
      <c r="C26" s="15">
        <f>'Balance sheet'!G20+C11</f>
        <v>873.05</v>
      </c>
      <c r="D26" s="16">
        <f>C26+D11</f>
        <v>829.3975</v>
      </c>
      <c r="E26" s="16">
        <f>D26+E11</f>
        <v>787.927625</v>
      </c>
      <c r="F26" s="16">
        <f>E26+F11</f>
        <v>748.53124375</v>
      </c>
    </row>
    <row r="27" ht="20.05" customHeight="1">
      <c r="B27" t="s" s="10">
        <v>12</v>
      </c>
      <c r="C27" s="15">
        <f>C12</f>
        <v>7.27558121367402</v>
      </c>
      <c r="D27" s="16">
        <f>C27+D12</f>
        <v>7.56268798512572</v>
      </c>
      <c r="E27" s="16">
        <f>D27+E12</f>
        <v>1.58963043372252</v>
      </c>
      <c r="F27" s="16">
        <f>E27+F12</f>
        <v>0</v>
      </c>
    </row>
    <row r="28" ht="20.05" customHeight="1">
      <c r="B28" t="s" s="10">
        <v>26</v>
      </c>
      <c r="C28" s="15">
        <f>'Balance sheet'!H20+C21+C14</f>
        <v>1119.074418786330</v>
      </c>
      <c r="D28" s="16">
        <f>C28+D21+D14</f>
        <v>1142.839812014880</v>
      </c>
      <c r="E28" s="16">
        <f>D28+E21+E14</f>
        <v>1170.682744566280</v>
      </c>
      <c r="F28" s="16">
        <f>E28+F21+F14</f>
        <v>1196.283030490110</v>
      </c>
    </row>
    <row r="29" ht="20.05" customHeight="1">
      <c r="B29" t="s" s="10">
        <v>27</v>
      </c>
      <c r="C29" s="15">
        <f>C26+C27+C28-C18-C25</f>
        <v>4.02e-12</v>
      </c>
      <c r="D29" s="16">
        <f>D26+D27+D28-D18-D25</f>
        <v>5.72e-12</v>
      </c>
      <c r="E29" s="16">
        <f>E26+E27+E28-E18-E25</f>
        <v>2.52e-12</v>
      </c>
      <c r="F29" s="16">
        <f>F26+F27+F28-F18-F25</f>
        <v>0</v>
      </c>
    </row>
    <row r="30" ht="20.05" customHeight="1">
      <c r="B30" t="s" s="10">
        <v>28</v>
      </c>
      <c r="C30" s="15">
        <f>C18-C26-C27</f>
        <v>-47.325581213674</v>
      </c>
      <c r="D30" s="16">
        <f>D18-D26-D27</f>
        <v>-3.96018798512572</v>
      </c>
      <c r="E30" s="16">
        <f>E18-E26-E27</f>
        <v>43.4827445662775</v>
      </c>
      <c r="F30" s="16">
        <f>F18-F26-F27</f>
        <v>88.683030490110</v>
      </c>
    </row>
    <row r="31" ht="20.05" customHeight="1">
      <c r="B31" t="s" s="18">
        <v>29</v>
      </c>
      <c r="C31" s="15"/>
      <c r="D31" s="16"/>
      <c r="E31" s="16"/>
      <c r="F31" s="16"/>
    </row>
    <row r="32" ht="20.05" customHeight="1">
      <c r="B32" t="s" s="22">
        <v>30</v>
      </c>
      <c r="C32" s="15">
        <f>'Cashflow '!M24-C10</f>
        <v>-345.350830305249</v>
      </c>
      <c r="D32" s="16">
        <f>C32-D10</f>
        <v>-291.800268550180</v>
      </c>
      <c r="E32" s="16">
        <f>D32-E10</f>
        <v>-232.424650619604</v>
      </c>
      <c r="F32" s="16">
        <f>E32-F10</f>
        <v>-180.467087825667</v>
      </c>
    </row>
    <row r="33" ht="20.05" customHeight="1">
      <c r="B33" t="s" s="22">
        <v>31</v>
      </c>
      <c r="C33" s="13"/>
      <c r="D33" s="14"/>
      <c r="E33" s="14"/>
      <c r="F33" s="14">
        <v>1109211819520</v>
      </c>
    </row>
    <row r="34" ht="20.05" customHeight="1">
      <c r="B34" t="s" s="22">
        <v>31</v>
      </c>
      <c r="C34" s="13"/>
      <c r="D34" s="14"/>
      <c r="E34" s="14"/>
      <c r="F34" s="14">
        <f>F33/1000000000</f>
        <v>1109.21181952</v>
      </c>
    </row>
    <row r="35" ht="20.05" customHeight="1">
      <c r="B35" t="s" s="22">
        <v>32</v>
      </c>
      <c r="C35" s="13"/>
      <c r="D35" s="14"/>
      <c r="E35" s="14"/>
      <c r="F35" s="23">
        <f>F34/(F18+F25)</f>
        <v>0.570343314635223</v>
      </c>
    </row>
    <row r="36" ht="20.05" customHeight="1">
      <c r="B36" t="s" s="22">
        <v>33</v>
      </c>
      <c r="C36" s="13"/>
      <c r="D36" s="14"/>
      <c r="E36" s="14"/>
      <c r="F36" s="24">
        <f>-(C14+D14+E14+F14)/F34</f>
        <v>0.0372013308893424</v>
      </c>
    </row>
    <row r="37" ht="20.05" customHeight="1">
      <c r="B37" t="s" s="22">
        <v>34</v>
      </c>
      <c r="C37" s="13"/>
      <c r="D37" s="14"/>
      <c r="E37" s="14"/>
      <c r="F37" s="14">
        <f>SUM(C8:F9)</f>
        <v>215.947186414443</v>
      </c>
    </row>
    <row r="38" ht="20.05" customHeight="1">
      <c r="B38" t="s" s="22">
        <v>35</v>
      </c>
      <c r="C38" s="13"/>
      <c r="D38" s="14"/>
      <c r="E38" s="14"/>
      <c r="F38" s="14">
        <f>'Balance sheet'!E20/F37</f>
        <v>5.49208359549471</v>
      </c>
    </row>
    <row r="39" ht="20.05" customHeight="1">
      <c r="B39" t="s" s="22">
        <v>29</v>
      </c>
      <c r="C39" s="13"/>
      <c r="D39" s="14"/>
      <c r="E39" s="14"/>
      <c r="F39" s="14">
        <f>F34/F37</f>
        <v>5.13649581611689</v>
      </c>
    </row>
    <row r="40" ht="20.05" customHeight="1">
      <c r="B40" t="s" s="22">
        <v>36</v>
      </c>
      <c r="C40" s="13"/>
      <c r="D40" s="14"/>
      <c r="E40" s="14"/>
      <c r="F40" s="14">
        <v>10</v>
      </c>
    </row>
    <row r="41" ht="20.05" customHeight="1">
      <c r="B41" t="s" s="22">
        <v>37</v>
      </c>
      <c r="C41" s="13"/>
      <c r="D41" s="14"/>
      <c r="E41" s="14"/>
      <c r="F41" s="14">
        <f>F37*F40</f>
        <v>2159.471864144430</v>
      </c>
    </row>
    <row r="42" ht="20.05" customHeight="1">
      <c r="B42" t="s" s="22">
        <v>38</v>
      </c>
      <c r="C42" s="13"/>
      <c r="D42" s="14"/>
      <c r="E42" s="14"/>
      <c r="F42" s="14">
        <f>F34/F44</f>
        <v>1.818380032</v>
      </c>
    </row>
    <row r="43" ht="20.05" customHeight="1">
      <c r="B43" t="s" s="22">
        <v>39</v>
      </c>
      <c r="C43" s="13"/>
      <c r="D43" s="14"/>
      <c r="E43" s="14"/>
      <c r="F43" s="14">
        <f>F41/F42</f>
        <v>1187.580058151690</v>
      </c>
    </row>
    <row r="44" ht="20.05" customHeight="1">
      <c r="B44" t="s" s="22">
        <v>40</v>
      </c>
      <c r="C44" s="13"/>
      <c r="D44" s="14"/>
      <c r="E44" s="14"/>
      <c r="F44" s="14">
        <v>610</v>
      </c>
    </row>
    <row r="45" ht="20.05" customHeight="1">
      <c r="B45" t="s" s="22">
        <v>41</v>
      </c>
      <c r="C45" s="13"/>
      <c r="D45" s="14"/>
      <c r="E45" s="14"/>
      <c r="F45" s="25">
        <f>F43/F44-1</f>
        <v>0.946852554347033</v>
      </c>
    </row>
    <row r="46" ht="20.05" customHeight="1">
      <c r="B46" t="s" s="22">
        <v>42</v>
      </c>
      <c r="C46" s="13"/>
      <c r="D46" s="14"/>
      <c r="E46" s="14"/>
      <c r="F46" s="25">
        <f>'Sales'!C24/'Sales'!C20-1</f>
        <v>0.251042535446205</v>
      </c>
    </row>
    <row r="47" ht="20.05" customHeight="1">
      <c r="B47" t="s" s="22">
        <v>43</v>
      </c>
      <c r="C47" s="13"/>
      <c r="D47" s="14"/>
      <c r="E47" s="14"/>
      <c r="F47" s="25">
        <f>'Sales'!F27/'Sales'!E27-1</f>
        <v>-0.015010111223458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7031" style="26" customWidth="1"/>
    <col min="2" max="2" width="10.1875" style="26" customWidth="1"/>
    <col min="3" max="11" width="9.45312" style="26" customWidth="1"/>
    <col min="12" max="16384" width="16.3516" style="26" customWidth="1"/>
  </cols>
  <sheetData>
    <row r="1" ht="33.8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44</v>
      </c>
      <c r="C3" t="s" s="5">
        <v>5</v>
      </c>
      <c r="D3" t="s" s="5">
        <v>36</v>
      </c>
      <c r="E3" t="s" s="5">
        <v>24</v>
      </c>
      <c r="F3" t="s" s="5">
        <v>45</v>
      </c>
      <c r="G3" t="s" s="5">
        <v>21</v>
      </c>
      <c r="H3" t="s" s="5">
        <v>46</v>
      </c>
      <c r="I3" t="s" s="5">
        <v>6</v>
      </c>
      <c r="J3" t="s" s="5">
        <v>6</v>
      </c>
      <c r="K3" t="s" s="5">
        <v>36</v>
      </c>
    </row>
    <row r="4" ht="20.25" customHeight="1">
      <c r="B4" s="27">
        <v>2017</v>
      </c>
      <c r="C4" s="28"/>
      <c r="D4" s="8"/>
      <c r="E4" s="29">
        <v>0</v>
      </c>
      <c r="F4" s="8"/>
      <c r="G4" s="30">
        <v>0</v>
      </c>
      <c r="H4" s="9"/>
      <c r="I4" s="9"/>
      <c r="J4" s="9"/>
      <c r="K4" s="9"/>
    </row>
    <row r="5" ht="20.05" customHeight="1">
      <c r="B5" s="31"/>
      <c r="C5" s="13">
        <v>195.6</v>
      </c>
      <c r="D5" s="21"/>
      <c r="E5" s="14">
        <v>0</v>
      </c>
      <c r="F5" s="21"/>
      <c r="G5" s="16">
        <v>59.9</v>
      </c>
      <c r="H5" s="25"/>
      <c r="I5" s="12"/>
      <c r="J5" s="12"/>
      <c r="K5" s="12"/>
    </row>
    <row r="6" ht="20.05" customHeight="1">
      <c r="B6" s="31"/>
      <c r="C6" s="13">
        <v>106.2</v>
      </c>
      <c r="D6" s="21"/>
      <c r="E6" s="14">
        <v>0</v>
      </c>
      <c r="F6" s="21"/>
      <c r="G6" s="16">
        <v>47</v>
      </c>
      <c r="H6" s="25">
        <f>C6/C5-1</f>
        <v>-0.457055214723926</v>
      </c>
      <c r="I6" s="12"/>
      <c r="J6" s="12"/>
      <c r="K6" s="12"/>
    </row>
    <row r="7" ht="20.05" customHeight="1">
      <c r="B7" s="31"/>
      <c r="C7" s="13">
        <v>120.2</v>
      </c>
      <c r="D7" s="21"/>
      <c r="E7" s="14">
        <v>7.7</v>
      </c>
      <c r="F7" s="21"/>
      <c r="G7" s="16">
        <v>23.1</v>
      </c>
      <c r="H7" s="25">
        <f>C7/C6-1</f>
        <v>0.131826741996234</v>
      </c>
      <c r="I7" s="12"/>
      <c r="J7" s="12"/>
      <c r="K7" s="12"/>
    </row>
    <row r="8" ht="20.05" customHeight="1">
      <c r="B8" s="32">
        <v>2018</v>
      </c>
      <c r="C8" s="13">
        <v>115</v>
      </c>
      <c r="D8" s="21"/>
      <c r="E8" s="14">
        <v>0</v>
      </c>
      <c r="F8" s="21"/>
      <c r="G8" s="16">
        <v>38.2</v>
      </c>
      <c r="H8" s="25">
        <f>C8/C7-1</f>
        <v>-0.043261231281198</v>
      </c>
      <c r="I8" s="25">
        <f>(G8+E8+F8-C8)/C8</f>
        <v>-0.667826086956522</v>
      </c>
      <c r="J8" s="12">
        <f>AVERAGE(I5:I8)</f>
        <v>-0.667826086956522</v>
      </c>
      <c r="K8" s="21"/>
    </row>
    <row r="9" ht="20.05" customHeight="1">
      <c r="B9" s="31"/>
      <c r="C9" s="13">
        <v>135.2</v>
      </c>
      <c r="D9" s="21"/>
      <c r="E9" s="14">
        <v>6.7</v>
      </c>
      <c r="F9" s="21"/>
      <c r="G9" s="16">
        <v>56.6</v>
      </c>
      <c r="H9" s="25">
        <f>C9/C8-1</f>
        <v>0.175652173913043</v>
      </c>
      <c r="I9" s="25">
        <f>(G9+E9+F9-C9)/C9</f>
        <v>-0.531804733727811</v>
      </c>
      <c r="J9" s="12">
        <f>AVERAGE(I6:I9)</f>
        <v>-0.599815410342167</v>
      </c>
      <c r="K9" s="21"/>
    </row>
    <row r="10" ht="20.05" customHeight="1">
      <c r="B10" s="31"/>
      <c r="C10" s="13">
        <v>133.6</v>
      </c>
      <c r="D10" s="21"/>
      <c r="E10" s="14">
        <v>3.1</v>
      </c>
      <c r="F10" s="21"/>
      <c r="G10" s="16">
        <v>51.8</v>
      </c>
      <c r="H10" s="25">
        <f>C10/C9-1</f>
        <v>-0.0118343195266272</v>
      </c>
      <c r="I10" s="25">
        <f>(G10+E10+F10-C10)/C10</f>
        <v>-0.589071856287425</v>
      </c>
      <c r="J10" s="12">
        <f>AVERAGE(I7:I10)</f>
        <v>-0.596234225657253</v>
      </c>
      <c r="K10" s="21"/>
    </row>
    <row r="11" ht="20.05" customHeight="1">
      <c r="B11" s="31"/>
      <c r="C11" s="13">
        <v>138</v>
      </c>
      <c r="D11" s="21"/>
      <c r="E11" s="14">
        <v>4.2</v>
      </c>
      <c r="F11" s="21"/>
      <c r="G11" s="16">
        <v>23.4</v>
      </c>
      <c r="H11" s="25">
        <f>C11/C10-1</f>
        <v>0.0329341317365269</v>
      </c>
      <c r="I11" s="25">
        <f>(G11+E11+F11-C11)/C11</f>
        <v>-0.8</v>
      </c>
      <c r="J11" s="12">
        <f>AVERAGE(I8:I11)</f>
        <v>-0.64717566924294</v>
      </c>
      <c r="K11" s="21"/>
    </row>
    <row r="12" ht="20.05" customHeight="1">
      <c r="B12" s="32">
        <v>2019</v>
      </c>
      <c r="C12" s="13">
        <v>117</v>
      </c>
      <c r="D12" s="21"/>
      <c r="E12" s="14">
        <v>4.6</v>
      </c>
      <c r="F12" s="21"/>
      <c r="G12" s="16">
        <v>49</v>
      </c>
      <c r="H12" s="25">
        <f>C12/C11-1</f>
        <v>-0.152173913043478</v>
      </c>
      <c r="I12" s="25">
        <f>(G12+E12+F12-C12)/C12</f>
        <v>-0.541880341880342</v>
      </c>
      <c r="J12" s="12">
        <f>AVERAGE(I9:I12)</f>
        <v>-0.615689232973895</v>
      </c>
      <c r="K12" s="21"/>
    </row>
    <row r="13" ht="20.05" customHeight="1">
      <c r="B13" s="31"/>
      <c r="C13" s="13">
        <v>111.6</v>
      </c>
      <c r="D13" s="21"/>
      <c r="E13" s="14">
        <v>4.6</v>
      </c>
      <c r="F13" s="21"/>
      <c r="G13" s="16">
        <v>41.5</v>
      </c>
      <c r="H13" s="25">
        <f>C13/C12-1</f>
        <v>-0.0461538461538462</v>
      </c>
      <c r="I13" s="25">
        <f>(G13+E13+F13-C13)/C13</f>
        <v>-0.586917562724014</v>
      </c>
      <c r="J13" s="12">
        <f>AVERAGE(I10:I13)</f>
        <v>-0.629467440222945</v>
      </c>
      <c r="K13" s="21"/>
    </row>
    <row r="14" ht="20.05" customHeight="1">
      <c r="B14" s="31"/>
      <c r="C14" s="13">
        <v>130.9</v>
      </c>
      <c r="D14" s="21"/>
      <c r="E14" s="14">
        <v>5.6</v>
      </c>
      <c r="F14" s="21"/>
      <c r="G14" s="16">
        <v>20.8</v>
      </c>
      <c r="H14" s="25">
        <f>C14/C13-1</f>
        <v>0.172939068100358</v>
      </c>
      <c r="I14" s="25">
        <f>(G14+E14+F14-C14)/C14</f>
        <v>-0.798319327731092</v>
      </c>
      <c r="J14" s="12">
        <f>AVERAGE(I11:I14)</f>
        <v>-0.681779308083862</v>
      </c>
      <c r="K14" s="21"/>
    </row>
    <row r="15" ht="20.05" customHeight="1">
      <c r="B15" s="31"/>
      <c r="C15" s="13">
        <v>163.5</v>
      </c>
      <c r="D15" s="14">
        <v>154.56</v>
      </c>
      <c r="E15" s="14">
        <v>11.2</v>
      </c>
      <c r="F15" s="21"/>
      <c r="G15" s="16">
        <v>23.7</v>
      </c>
      <c r="H15" s="25">
        <f>C15/C14-1</f>
        <v>0.249045072574484</v>
      </c>
      <c r="I15" s="25">
        <f>(G15+E15+F15-C15)/C15</f>
        <v>-0.786544342507645</v>
      </c>
      <c r="J15" s="12">
        <f>AVERAGE(I12:I15)</f>
        <v>-0.678415393710773</v>
      </c>
      <c r="K15" s="21"/>
    </row>
    <row r="16" ht="20.05" customHeight="1">
      <c r="B16" s="32">
        <v>2020</v>
      </c>
      <c r="C16" s="13">
        <v>123.9</v>
      </c>
      <c r="D16" s="14">
        <v>131.04</v>
      </c>
      <c r="E16" s="14">
        <v>24</v>
      </c>
      <c r="F16" s="14">
        <v>10</v>
      </c>
      <c r="G16" s="16">
        <v>20.404</v>
      </c>
      <c r="H16" s="25">
        <f>C16/C15-1</f>
        <v>-0.242201834862385</v>
      </c>
      <c r="I16" s="25">
        <f>(G16+E16+F16-C16)/C16</f>
        <v>-0.56090395480226</v>
      </c>
      <c r="J16" s="12">
        <f>AVERAGE(I13:I16)</f>
        <v>-0.683171296941253</v>
      </c>
      <c r="K16" s="12"/>
    </row>
    <row r="17" ht="20.05" customHeight="1">
      <c r="B17" s="31"/>
      <c r="C17" s="13">
        <v>52.1</v>
      </c>
      <c r="D17" s="14">
        <v>119.412</v>
      </c>
      <c r="E17" s="14">
        <v>25</v>
      </c>
      <c r="F17" s="14">
        <v>10</v>
      </c>
      <c r="G17" s="16">
        <v>-20.644</v>
      </c>
      <c r="H17" s="25">
        <f>C17/C16-1</f>
        <v>-0.579499596448749</v>
      </c>
      <c r="I17" s="25">
        <f>(G17+E17+F17-C17)/C17</f>
        <v>-0.724452975047985</v>
      </c>
      <c r="J17" s="12">
        <f>AVERAGE(I14:I17)</f>
        <v>-0.717555150022246</v>
      </c>
      <c r="K17" s="12"/>
    </row>
    <row r="18" ht="20.05" customHeight="1">
      <c r="B18" s="31"/>
      <c r="C18" s="13">
        <v>73.2</v>
      </c>
      <c r="D18" s="14">
        <v>75.545</v>
      </c>
      <c r="E18" s="14">
        <v>27</v>
      </c>
      <c r="F18" s="21"/>
      <c r="G18" s="16">
        <f>-32.7-SUM(G16:G17)</f>
        <v>-32.46</v>
      </c>
      <c r="H18" s="25">
        <f>C18/C17-1</f>
        <v>0.404990403071017</v>
      </c>
      <c r="I18" s="25">
        <f>(G18+E18+F18-C18)/C18</f>
        <v>-1.07459016393443</v>
      </c>
      <c r="J18" s="12">
        <f>AVERAGE(I15:I18)</f>
        <v>-0.78662285907308</v>
      </c>
      <c r="K18" s="12"/>
    </row>
    <row r="19" ht="20.05" customHeight="1">
      <c r="B19" s="31"/>
      <c r="C19" s="13">
        <v>107.3</v>
      </c>
      <c r="D19" s="14">
        <v>87.84</v>
      </c>
      <c r="E19" s="14">
        <f>100.7-SUM(E16:E18)</f>
        <v>24.7</v>
      </c>
      <c r="F19" s="14">
        <f>51.1-SUM(F16:F18)</f>
        <v>31.1</v>
      </c>
      <c r="G19" s="16">
        <f>-23.8-SUM(G16:G18)</f>
        <v>8.9</v>
      </c>
      <c r="H19" s="25">
        <f>C19/C18-1</f>
        <v>0.465846994535519</v>
      </c>
      <c r="I19" s="25">
        <f>(G19+E19+F19-C19)/C19</f>
        <v>-0.397017707362535</v>
      </c>
      <c r="J19" s="12">
        <f>AVERAGE(I16:I19)</f>
        <v>-0.689241200286803</v>
      </c>
      <c r="K19" s="12"/>
    </row>
    <row r="20" ht="20.05" customHeight="1">
      <c r="B20" s="32">
        <v>2021</v>
      </c>
      <c r="C20" s="13">
        <v>119.9</v>
      </c>
      <c r="D20" s="14">
        <v>105.408</v>
      </c>
      <c r="E20" s="16">
        <f>25.5</f>
        <v>25.5</v>
      </c>
      <c r="F20" s="16"/>
      <c r="G20" s="16">
        <v>17.9</v>
      </c>
      <c r="H20" s="25">
        <f>C20/C19-1</f>
        <v>0.117427772600186</v>
      </c>
      <c r="I20" s="25">
        <f>(G20+E20+F20-C20)/C20</f>
        <v>-0.638031693077565</v>
      </c>
      <c r="J20" s="12">
        <f>AVERAGE(I17:I20)</f>
        <v>-0.708523134855629</v>
      </c>
      <c r="K20" s="12"/>
    </row>
    <row r="21" ht="20.05" customHeight="1">
      <c r="B21" s="31"/>
      <c r="C21" s="13">
        <f>233.3-C20</f>
        <v>113.4</v>
      </c>
      <c r="D21" s="14">
        <v>137.885</v>
      </c>
      <c r="E21" s="16">
        <f>38+13.1+(2.3-1.9)-E20</f>
        <v>26</v>
      </c>
      <c r="F21" s="21"/>
      <c r="G21" s="33">
        <f>14.8-G20</f>
        <v>-3.1</v>
      </c>
      <c r="H21" s="25">
        <f>C21/C20-1</f>
        <v>-0.0542118432026689</v>
      </c>
      <c r="I21" s="25">
        <f>(G21+E21+F21-C21)/C21</f>
        <v>-0.798059964726631</v>
      </c>
      <c r="J21" s="12">
        <f>AVERAGE(I18:I21)</f>
        <v>-0.72692488227529</v>
      </c>
      <c r="K21" s="12"/>
    </row>
    <row r="22" ht="20.05" customHeight="1">
      <c r="B22" s="31"/>
      <c r="C22" s="13">
        <f>347.8-SUM(C20:C21)</f>
        <v>114.5</v>
      </c>
      <c r="D22" s="14">
        <v>112.266</v>
      </c>
      <c r="E22" s="16">
        <f>76.7-SUM(E20:E21)</f>
        <v>25.2</v>
      </c>
      <c r="F22" s="21"/>
      <c r="G22" s="16">
        <f>16.6-SUM(G20:G21)</f>
        <v>1.8</v>
      </c>
      <c r="H22" s="25">
        <f>C22/C21-1</f>
        <v>0.00970017636684303</v>
      </c>
      <c r="I22" s="25">
        <f>(G22+E22+F22-C22)/C22</f>
        <v>-0.764192139737991</v>
      </c>
      <c r="J22" s="12">
        <f>AVERAGE(I19:I22)</f>
        <v>-0.649325376226181</v>
      </c>
      <c r="K22" s="12"/>
    </row>
    <row r="23" ht="20.05" customHeight="1">
      <c r="B23" s="31"/>
      <c r="C23" s="13">
        <f>516.8-SUM(C20:C22)</f>
        <v>169</v>
      </c>
      <c r="D23" s="14">
        <v>122.515</v>
      </c>
      <c r="E23" s="16">
        <f>102.9-SUM(E20:E22)</f>
        <v>26.2</v>
      </c>
      <c r="F23" s="21"/>
      <c r="G23" s="33">
        <f>60.1-SUM(G20:G22)</f>
        <v>43.5</v>
      </c>
      <c r="H23" s="25">
        <f>C23/C22-1</f>
        <v>0.475982532751092</v>
      </c>
      <c r="I23" s="25">
        <f>(G23+E23+F23-C23)/C23</f>
        <v>-0.587573964497041</v>
      </c>
      <c r="J23" s="12">
        <f>AVERAGE(I20:I23)</f>
        <v>-0.696964440509807</v>
      </c>
      <c r="K23" s="12"/>
    </row>
    <row r="24" ht="20.05" customHeight="1">
      <c r="B24" s="32">
        <v>2022</v>
      </c>
      <c r="C24" s="13">
        <v>150</v>
      </c>
      <c r="D24" s="14">
        <v>122.515</v>
      </c>
      <c r="E24" s="16">
        <f>6.6+17.2+(13.1-12.6)</f>
        <v>24.3</v>
      </c>
      <c r="F24" s="21"/>
      <c r="G24" s="16">
        <v>35.3</v>
      </c>
      <c r="H24" s="25">
        <f>C24/C23-1</f>
        <v>-0.112426035502959</v>
      </c>
      <c r="I24" s="25">
        <f>(G24+E24+F24-C24)/C24</f>
        <v>-0.602666666666667</v>
      </c>
      <c r="J24" s="12">
        <f>AVERAGE(I21:I24)</f>
        <v>-0.688123183907083</v>
      </c>
      <c r="K24" s="12">
        <v>-0.649325376226181</v>
      </c>
    </row>
    <row r="25" ht="20.05" customHeight="1">
      <c r="B25" s="31"/>
      <c r="C25" s="13"/>
      <c r="D25" s="14">
        <f>'Model'!$C5</f>
        <v>147</v>
      </c>
      <c r="E25" s="21"/>
      <c r="F25" s="21"/>
      <c r="G25" s="21"/>
      <c r="H25" s="25"/>
      <c r="I25" s="21"/>
      <c r="J25" s="21"/>
      <c r="K25" s="25">
        <f>'Model'!C6</f>
        <v>-0.649325376226181</v>
      </c>
    </row>
    <row r="26" ht="20.05" customHeight="1">
      <c r="B26" s="31"/>
      <c r="C26" s="13"/>
      <c r="D26" s="14">
        <f>'Model'!D5</f>
        <v>166.11</v>
      </c>
      <c r="E26" s="21"/>
      <c r="F26" s="21"/>
      <c r="G26" s="21"/>
      <c r="H26" s="21"/>
      <c r="I26" s="21"/>
      <c r="J26" s="21"/>
      <c r="K26" s="21"/>
    </row>
    <row r="27" ht="20.05" customHeight="1">
      <c r="B27" s="31"/>
      <c r="C27" s="13"/>
      <c r="D27" s="14">
        <f>'Model'!E5</f>
        <v>182.721</v>
      </c>
      <c r="E27" s="14">
        <f>SUM(C15:C24)</f>
        <v>1186.8</v>
      </c>
      <c r="F27" s="14">
        <f>SUM(D15:D24)</f>
        <v>1168.986</v>
      </c>
      <c r="G27" s="21"/>
      <c r="H27" s="21"/>
      <c r="I27" s="21"/>
      <c r="J27" s="21"/>
      <c r="K27" s="21"/>
    </row>
    <row r="28" ht="20.05" customHeight="1">
      <c r="B28" s="32">
        <v>2023</v>
      </c>
      <c r="C28" s="13"/>
      <c r="D28" s="14">
        <f>'Model'!F5</f>
        <v>173.58495</v>
      </c>
      <c r="E28" s="21"/>
      <c r="F28" s="24"/>
      <c r="G28" s="21"/>
      <c r="H28" s="21"/>
      <c r="I28" s="21"/>
      <c r="J28" s="21"/>
      <c r="K28" s="21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14844" style="34" customWidth="1"/>
    <col min="2" max="2" width="7.60938" style="34" customWidth="1"/>
    <col min="3" max="3" width="8.61719" style="34" customWidth="1"/>
    <col min="4" max="15" width="8.97656" style="34" customWidth="1"/>
    <col min="16" max="16384" width="16.3516" style="34" customWidth="1"/>
  </cols>
  <sheetData>
    <row r="1" ht="14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3">
        <v>47</v>
      </c>
      <c r="D3" t="s" s="5">
        <v>48</v>
      </c>
      <c r="E3" t="s" s="5">
        <v>49</v>
      </c>
      <c r="F3" t="s" s="5">
        <v>45</v>
      </c>
      <c r="G3" t="s" s="5">
        <v>50</v>
      </c>
      <c r="H3" t="s" s="5">
        <v>14</v>
      </c>
      <c r="I3" t="s" s="5">
        <v>10</v>
      </c>
      <c r="J3" t="s" s="5">
        <v>51</v>
      </c>
      <c r="K3" t="s" s="5">
        <v>34</v>
      </c>
      <c r="L3" t="s" s="5">
        <v>36</v>
      </c>
      <c r="M3" t="s" s="5">
        <v>30</v>
      </c>
      <c r="N3" t="s" s="5">
        <v>36</v>
      </c>
      <c r="O3" s="35"/>
    </row>
    <row r="4" ht="20.25" customHeight="1">
      <c r="B4" s="27">
        <v>2017</v>
      </c>
      <c r="C4" s="36"/>
      <c r="D4" s="30">
        <v>0</v>
      </c>
      <c r="E4" s="30">
        <v>0</v>
      </c>
      <c r="F4" s="30"/>
      <c r="G4" s="30"/>
      <c r="H4" s="30"/>
      <c r="I4" s="30">
        <v>0</v>
      </c>
      <c r="J4" s="30">
        <f>D4+E4</f>
        <v>0</v>
      </c>
      <c r="K4" s="30"/>
      <c r="L4" s="30"/>
      <c r="M4" s="30">
        <f>-I4</f>
        <v>0</v>
      </c>
      <c r="N4" s="30"/>
      <c r="O4" s="30">
        <v>1</v>
      </c>
    </row>
    <row r="5" ht="20.05" customHeight="1">
      <c r="B5" s="31"/>
      <c r="C5" s="15">
        <f>218-C4</f>
        <v>218</v>
      </c>
      <c r="D5" s="16">
        <v>50</v>
      </c>
      <c r="E5" s="16">
        <v>-28</v>
      </c>
      <c r="F5" s="16"/>
      <c r="G5" s="16"/>
      <c r="H5" s="16"/>
      <c r="I5" s="16">
        <v>0</v>
      </c>
      <c r="J5" s="16">
        <f>D5+E5</f>
        <v>22</v>
      </c>
      <c r="K5" s="16"/>
      <c r="L5" s="16"/>
      <c r="M5" s="16">
        <f>-I5+M4</f>
        <v>0</v>
      </c>
      <c r="N5" s="16"/>
      <c r="O5" s="16">
        <f>1+O4</f>
        <v>2</v>
      </c>
    </row>
    <row r="6" ht="20.05" customHeight="1">
      <c r="B6" s="31"/>
      <c r="C6" s="15">
        <f>278-SUM(C4:C5)</f>
        <v>60</v>
      </c>
      <c r="D6" s="16">
        <v>99.5</v>
      </c>
      <c r="E6" s="16">
        <v>1</v>
      </c>
      <c r="F6" s="16"/>
      <c r="G6" s="16"/>
      <c r="H6" s="16"/>
      <c r="I6" s="16">
        <v>0</v>
      </c>
      <c r="J6" s="16">
        <f>D6+E6</f>
        <v>100.5</v>
      </c>
      <c r="K6" s="16"/>
      <c r="L6" s="16"/>
      <c r="M6" s="16">
        <f>-I6+M5</f>
        <v>0</v>
      </c>
      <c r="N6" s="16"/>
      <c r="O6" s="16">
        <f>1+O5</f>
        <v>3</v>
      </c>
    </row>
    <row r="7" ht="20.05" customHeight="1">
      <c r="B7" s="31"/>
      <c r="C7" s="15">
        <f>413-SUM(C5:C6)</f>
        <v>135</v>
      </c>
      <c r="D7" s="16">
        <v>37.8</v>
      </c>
      <c r="E7" s="16">
        <v>1.2</v>
      </c>
      <c r="F7" s="16"/>
      <c r="G7" s="16"/>
      <c r="H7" s="16"/>
      <c r="I7" s="16">
        <v>-78.59999999999999</v>
      </c>
      <c r="J7" s="16">
        <f>D7+E7</f>
        <v>39</v>
      </c>
      <c r="K7" s="16"/>
      <c r="L7" s="16"/>
      <c r="M7" s="16">
        <f>-I7+M6</f>
        <v>78.59999999999999</v>
      </c>
      <c r="N7" s="16"/>
      <c r="O7" s="16">
        <f>1+O6</f>
        <v>4</v>
      </c>
    </row>
    <row r="8" ht="20.05" customHeight="1">
      <c r="B8" s="32">
        <v>2018</v>
      </c>
      <c r="C8" s="15">
        <f>98</f>
        <v>98</v>
      </c>
      <c r="D8" s="16">
        <v>35.9</v>
      </c>
      <c r="E8" s="16">
        <v>-6.1</v>
      </c>
      <c r="F8" s="16"/>
      <c r="G8" s="16"/>
      <c r="H8" s="16"/>
      <c r="I8" s="16">
        <v>0</v>
      </c>
      <c r="J8" s="16">
        <f>D8+E8</f>
        <v>29.8</v>
      </c>
      <c r="K8" s="16">
        <f>AVERAGE(J5:J8)</f>
        <v>47.825</v>
      </c>
      <c r="L8" s="16"/>
      <c r="M8" s="16">
        <f>-I8+M7</f>
        <v>78.59999999999999</v>
      </c>
      <c r="N8" s="16"/>
      <c r="O8" s="16">
        <f>1+O7</f>
        <v>5</v>
      </c>
    </row>
    <row r="9" ht="20.05" customHeight="1">
      <c r="B9" s="31"/>
      <c r="C9" s="15">
        <f>298-C8</f>
        <v>200</v>
      </c>
      <c r="D9" s="16">
        <v>79.2</v>
      </c>
      <c r="E9" s="16">
        <v>-24.4</v>
      </c>
      <c r="F9" s="16"/>
      <c r="G9" s="16"/>
      <c r="H9" s="16"/>
      <c r="I9" s="16">
        <v>-104</v>
      </c>
      <c r="J9" s="16">
        <f>D9+E9</f>
        <v>54.8</v>
      </c>
      <c r="K9" s="16">
        <f>AVERAGE(J6:J9)</f>
        <v>56.025</v>
      </c>
      <c r="L9" s="16"/>
      <c r="M9" s="16">
        <f>-I9+M8</f>
        <v>182.6</v>
      </c>
      <c r="N9" s="16"/>
      <c r="O9" s="16">
        <f>1+O8</f>
        <v>6</v>
      </c>
    </row>
    <row r="10" ht="20.05" customHeight="1">
      <c r="B10" s="31"/>
      <c r="C10" s="15">
        <v>46</v>
      </c>
      <c r="D10" s="16">
        <v>-5.7</v>
      </c>
      <c r="E10" s="16">
        <v>10</v>
      </c>
      <c r="F10" s="16"/>
      <c r="G10" s="16"/>
      <c r="H10" s="16"/>
      <c r="I10" s="16">
        <v>821.3</v>
      </c>
      <c r="J10" s="16">
        <f>D10+E10</f>
        <v>4.3</v>
      </c>
      <c r="K10" s="16">
        <f>AVERAGE(J7:J10)</f>
        <v>31.975</v>
      </c>
      <c r="L10" s="16"/>
      <c r="M10" s="16">
        <f>-I10+M9</f>
        <v>-638.7</v>
      </c>
      <c r="N10" s="16"/>
      <c r="O10" s="16">
        <f>1+O9</f>
        <v>7</v>
      </c>
    </row>
    <row r="11" ht="20.05" customHeight="1">
      <c r="B11" s="31"/>
      <c r="C11" s="15">
        <v>150</v>
      </c>
      <c r="D11" s="16">
        <v>-239</v>
      </c>
      <c r="E11" s="16">
        <v>-164.2</v>
      </c>
      <c r="F11" s="16"/>
      <c r="G11" s="16"/>
      <c r="H11" s="16"/>
      <c r="I11" s="16">
        <v>-21.1</v>
      </c>
      <c r="J11" s="16">
        <f>D11+E11</f>
        <v>-403.2</v>
      </c>
      <c r="K11" s="16">
        <f>AVERAGE(J8:J11)</f>
        <v>-78.575</v>
      </c>
      <c r="L11" s="16"/>
      <c r="M11" s="16">
        <f>-I11+M10</f>
        <v>-617.6</v>
      </c>
      <c r="N11" s="16"/>
      <c r="O11" s="16">
        <f>1+O10</f>
        <v>8</v>
      </c>
    </row>
    <row r="12" ht="20.05" customHeight="1">
      <c r="B12" s="32">
        <v>2019</v>
      </c>
      <c r="C12" s="15">
        <v>112</v>
      </c>
      <c r="D12" s="16">
        <v>4.7</v>
      </c>
      <c r="E12" s="16">
        <v>-9</v>
      </c>
      <c r="F12" s="16"/>
      <c r="G12" s="16"/>
      <c r="H12" s="16"/>
      <c r="I12" s="16">
        <v>0</v>
      </c>
      <c r="J12" s="16">
        <f>D12+E12</f>
        <v>-4.3</v>
      </c>
      <c r="K12" s="16">
        <f>AVERAGE(J9:J12)</f>
        <v>-87.09999999999999</v>
      </c>
      <c r="L12" s="16"/>
      <c r="M12" s="16">
        <f>-I12+M11</f>
        <v>-617.6</v>
      </c>
      <c r="N12" s="16"/>
      <c r="O12" s="16">
        <f>1+O11</f>
        <v>9</v>
      </c>
    </row>
    <row r="13" ht="20.05" customHeight="1">
      <c r="B13" s="31"/>
      <c r="C13" s="15">
        <v>107</v>
      </c>
      <c r="D13" s="16">
        <v>21.34</v>
      </c>
      <c r="E13" s="16">
        <v>-0.2</v>
      </c>
      <c r="F13" s="16"/>
      <c r="G13" s="16"/>
      <c r="H13" s="16"/>
      <c r="I13" s="16">
        <v>0</v>
      </c>
      <c r="J13" s="16">
        <f>D13+E13</f>
        <v>21.14</v>
      </c>
      <c r="K13" s="16">
        <f>AVERAGE(J10:J13)</f>
        <v>-95.515</v>
      </c>
      <c r="L13" s="16"/>
      <c r="M13" s="16">
        <f>-I13+M12</f>
        <v>-617.6</v>
      </c>
      <c r="N13" s="16"/>
      <c r="O13" s="16">
        <f>1+O12</f>
        <v>10</v>
      </c>
    </row>
    <row r="14" ht="20.05" customHeight="1">
      <c r="B14" s="31"/>
      <c r="C14" s="15">
        <v>167</v>
      </c>
      <c r="D14" s="16">
        <v>196.96</v>
      </c>
      <c r="E14" s="16">
        <v>-118.6</v>
      </c>
      <c r="F14" s="16"/>
      <c r="G14" s="16"/>
      <c r="H14" s="16"/>
      <c r="I14" s="16">
        <v>-97.8</v>
      </c>
      <c r="J14" s="16">
        <f>D14+E14</f>
        <v>78.36</v>
      </c>
      <c r="K14" s="16">
        <f>AVERAGE(J11:J14)</f>
        <v>-77</v>
      </c>
      <c r="L14" s="16"/>
      <c r="M14" s="16">
        <f>-I14+M13</f>
        <v>-519.8</v>
      </c>
      <c r="N14" s="16"/>
      <c r="O14" s="16">
        <f>1+O13</f>
        <v>11</v>
      </c>
    </row>
    <row r="15" ht="20.05" customHeight="1">
      <c r="B15" s="31"/>
      <c r="C15" s="15">
        <v>112</v>
      </c>
      <c r="D15" s="16">
        <v>-60</v>
      </c>
      <c r="E15" s="16">
        <v>1.8</v>
      </c>
      <c r="F15" s="16"/>
      <c r="G15" s="16"/>
      <c r="H15" s="16"/>
      <c r="I15" s="16">
        <v>-4.2</v>
      </c>
      <c r="J15" s="16">
        <f>D15+E15</f>
        <v>-58.2</v>
      </c>
      <c r="K15" s="16">
        <f>AVERAGE(J12:J15)</f>
        <v>9.25</v>
      </c>
      <c r="L15" s="16"/>
      <c r="M15" s="16">
        <f>-I15+M14</f>
        <v>-515.6</v>
      </c>
      <c r="N15" s="16"/>
      <c r="O15" s="16">
        <f>1+O14</f>
        <v>12</v>
      </c>
    </row>
    <row r="16" ht="20.05" customHeight="1">
      <c r="B16" s="32">
        <v>2020</v>
      </c>
      <c r="C16" s="15">
        <v>142</v>
      </c>
      <c r="D16" s="16">
        <v>89.131</v>
      </c>
      <c r="E16" s="16">
        <v>-5.3</v>
      </c>
      <c r="F16" s="16">
        <v>0</v>
      </c>
      <c r="G16" s="16">
        <f>I16-H16-F16</f>
        <v>0</v>
      </c>
      <c r="H16" s="16">
        <v>-63.4</v>
      </c>
      <c r="I16" s="16">
        <v>-63.4</v>
      </c>
      <c r="J16" s="16">
        <f>D16+E16</f>
        <v>83.831</v>
      </c>
      <c r="K16" s="16">
        <f>AVERAGE(J13:J16)</f>
        <v>31.28275</v>
      </c>
      <c r="L16" s="16"/>
      <c r="M16" s="16">
        <f>-I16+M15</f>
        <v>-452.2</v>
      </c>
      <c r="N16" s="16"/>
      <c r="O16" s="16">
        <f>1+O15</f>
        <v>13</v>
      </c>
    </row>
    <row r="17" ht="20.05" customHeight="1">
      <c r="B17" s="31"/>
      <c r="C17" s="15">
        <f>217-C16</f>
        <v>75</v>
      </c>
      <c r="D17" s="16">
        <v>7.869</v>
      </c>
      <c r="E17" s="16">
        <v>-1.7</v>
      </c>
      <c r="F17" s="16">
        <v>0</v>
      </c>
      <c r="G17" s="16">
        <f>I17-H17-F17</f>
        <v>0</v>
      </c>
      <c r="H17" s="16">
        <f>-60.9-H16</f>
        <v>2.5</v>
      </c>
      <c r="I17" s="16">
        <f>-60.9-I16</f>
        <v>2.5</v>
      </c>
      <c r="J17" s="16">
        <f>D17+E17</f>
        <v>6.169</v>
      </c>
      <c r="K17" s="16">
        <f>AVERAGE(J14:J17)</f>
        <v>27.54</v>
      </c>
      <c r="L17" s="16"/>
      <c r="M17" s="16">
        <f>-I17+M16</f>
        <v>-454.7</v>
      </c>
      <c r="N17" s="16"/>
      <c r="O17" s="16">
        <f>1+O16</f>
        <v>14</v>
      </c>
    </row>
    <row r="18" ht="20.05" customHeight="1">
      <c r="B18" s="31"/>
      <c r="C18" s="15">
        <f>269-C17-C16</f>
        <v>52</v>
      </c>
      <c r="D18" s="16">
        <v>20</v>
      </c>
      <c r="E18" s="16">
        <v>-4</v>
      </c>
      <c r="F18" s="16">
        <v>0</v>
      </c>
      <c r="G18" s="16">
        <f>I18-H18-F18</f>
        <v>0</v>
      </c>
      <c r="H18" s="16">
        <f>-60.9-SUM(H16:H17)</f>
        <v>0</v>
      </c>
      <c r="I18" s="16">
        <f>-60.9-SUM(I16:I17)</f>
        <v>0</v>
      </c>
      <c r="J18" s="16">
        <f>D18+E18</f>
        <v>16</v>
      </c>
      <c r="K18" s="16">
        <f>AVERAGE(J15:J18)</f>
        <v>11.95</v>
      </c>
      <c r="L18" s="16"/>
      <c r="M18" s="16">
        <f>-I18+M17</f>
        <v>-454.7</v>
      </c>
      <c r="N18" s="16"/>
      <c r="O18" s="16">
        <f>1+O17</f>
        <v>15</v>
      </c>
    </row>
    <row r="19" ht="20.05" customHeight="1">
      <c r="B19" s="31"/>
      <c r="C19" s="15">
        <f>387.6-SUM(C16:C18)</f>
        <v>118.6</v>
      </c>
      <c r="D19" s="16">
        <f>159-SUM(D16:D18)</f>
        <v>42</v>
      </c>
      <c r="E19" s="16">
        <f>-18.9-SUM(E16:E18)</f>
        <v>-7.9</v>
      </c>
      <c r="F19" s="16">
        <f>-10.6-SUM(F16:F18)</f>
        <v>-10.6</v>
      </c>
      <c r="G19" s="16">
        <f>I19-H19-F19</f>
        <v>0.1</v>
      </c>
      <c r="H19" s="16">
        <f>-101.5-SUM(H16:H18)</f>
        <v>-40.6</v>
      </c>
      <c r="I19" s="16">
        <f>-112-SUM(I16:I18)</f>
        <v>-51.1</v>
      </c>
      <c r="J19" s="16">
        <f>D19+E19</f>
        <v>34.1</v>
      </c>
      <c r="K19" s="16">
        <f>AVERAGE(J16:J19)</f>
        <v>35.025</v>
      </c>
      <c r="L19" s="16"/>
      <c r="M19" s="16">
        <f>-I19+M18</f>
        <v>-403.6</v>
      </c>
      <c r="N19" s="16"/>
      <c r="O19" s="16">
        <f>1+O18</f>
        <v>16</v>
      </c>
    </row>
    <row r="20" ht="20.05" customHeight="1">
      <c r="B20" s="32">
        <v>2021</v>
      </c>
      <c r="C20" s="37">
        <v>118.3</v>
      </c>
      <c r="D20" s="16">
        <v>60.7</v>
      </c>
      <c r="E20" s="16">
        <v>0</v>
      </c>
      <c r="F20" s="16">
        <v>0</v>
      </c>
      <c r="G20" s="16">
        <f>I20-H20-F20</f>
        <v>0</v>
      </c>
      <c r="H20" s="16">
        <v>0</v>
      </c>
      <c r="I20" s="16">
        <v>0</v>
      </c>
      <c r="J20" s="16">
        <f>D20+E20</f>
        <v>60.7</v>
      </c>
      <c r="K20" s="16">
        <f>AVERAGE(J17:J20)</f>
        <v>29.24225</v>
      </c>
      <c r="L20" s="16"/>
      <c r="M20" s="16">
        <f>-I20+M19</f>
        <v>-403.6</v>
      </c>
      <c r="N20" s="16"/>
      <c r="O20" s="16">
        <f>1+O19</f>
        <v>17</v>
      </c>
    </row>
    <row r="21" ht="20.05" customHeight="1">
      <c r="B21" s="31"/>
      <c r="C21" s="37">
        <f>240.8-C20</f>
        <v>122.5</v>
      </c>
      <c r="D21" s="16">
        <f>145.6-D20</f>
        <v>84.90000000000001</v>
      </c>
      <c r="E21" s="16">
        <f>-13-E20</f>
        <v>-13</v>
      </c>
      <c r="F21" s="16">
        <v>0</v>
      </c>
      <c r="G21" s="16">
        <f>I21-H21-F21</f>
        <v>0</v>
      </c>
      <c r="H21" s="16">
        <v>0</v>
      </c>
      <c r="I21" s="16">
        <v>0</v>
      </c>
      <c r="J21" s="16">
        <f>D21+E21</f>
        <v>71.90000000000001</v>
      </c>
      <c r="K21" s="16">
        <f>AVERAGE(J18:J21)</f>
        <v>45.675</v>
      </c>
      <c r="L21" s="16"/>
      <c r="M21" s="16">
        <f>-I21+M20</f>
        <v>-403.6</v>
      </c>
      <c r="N21" s="16"/>
      <c r="O21" s="16">
        <f>1+O20</f>
        <v>18</v>
      </c>
    </row>
    <row r="22" ht="20.05" customHeight="1">
      <c r="B22" s="31"/>
      <c r="C22" s="37">
        <f>379.3-SUM(C20:C21)</f>
        <v>138.5</v>
      </c>
      <c r="D22" s="16">
        <f>185.9-SUM(D20:D21)</f>
        <v>40.3</v>
      </c>
      <c r="E22" s="16">
        <f>-24.7-SUM(E20:E21)</f>
        <v>-11.7</v>
      </c>
      <c r="F22" s="16">
        <v>0</v>
      </c>
      <c r="G22" s="16">
        <f>I22-H22-F22</f>
        <v>0</v>
      </c>
      <c r="H22" s="16">
        <v>0</v>
      </c>
      <c r="I22" s="16">
        <v>0</v>
      </c>
      <c r="J22" s="16">
        <f>D22+E22</f>
        <v>28.6</v>
      </c>
      <c r="K22" s="16">
        <f>AVERAGE(J19:J22)</f>
        <v>48.825</v>
      </c>
      <c r="L22" s="16"/>
      <c r="M22" s="16">
        <f>-I22+M21</f>
        <v>-403.6</v>
      </c>
      <c r="N22" s="16"/>
      <c r="O22" s="16">
        <f>1+O21</f>
        <v>19</v>
      </c>
    </row>
    <row r="23" ht="20.05" customHeight="1">
      <c r="B23" s="31"/>
      <c r="C23" s="37">
        <f>529-SUM(C20:C22)</f>
        <v>149.7</v>
      </c>
      <c r="D23" s="16">
        <f>305.2-SUM(D20:D22)</f>
        <v>119.3</v>
      </c>
      <c r="E23" s="16">
        <f>-44.6-SUM(E20:E22)</f>
        <v>-19.9</v>
      </c>
      <c r="F23" s="16">
        <v>-11.4</v>
      </c>
      <c r="G23" s="16">
        <f>I23-H23-F23</f>
        <v>0</v>
      </c>
      <c r="H23" s="16">
        <v>0</v>
      </c>
      <c r="I23" s="16">
        <f>-11.4-SUM(I20:I22)</f>
        <v>-11.4</v>
      </c>
      <c r="J23" s="16">
        <f>D23+E23</f>
        <v>99.40000000000001</v>
      </c>
      <c r="K23" s="16">
        <f>AVERAGE(J20:J23)</f>
        <v>65.15000000000001</v>
      </c>
      <c r="L23" s="16"/>
      <c r="M23" s="16">
        <f>-I23+M22</f>
        <v>-392.2</v>
      </c>
      <c r="N23" s="16"/>
      <c r="O23" s="16">
        <f>1+O22</f>
        <v>20</v>
      </c>
    </row>
    <row r="24" ht="20.05" customHeight="1">
      <c r="B24" s="32">
        <v>2022</v>
      </c>
      <c r="C24" s="37">
        <v>145.2</v>
      </c>
      <c r="D24" s="16">
        <v>68.3</v>
      </c>
      <c r="E24" s="16">
        <v>-4.7</v>
      </c>
      <c r="F24" s="16">
        <v>0</v>
      </c>
      <c r="G24" s="16">
        <v>0</v>
      </c>
      <c r="H24" s="16">
        <v>0</v>
      </c>
      <c r="I24" s="16">
        <v>0</v>
      </c>
      <c r="J24" s="16">
        <f>D24+E24</f>
        <v>63.6</v>
      </c>
      <c r="K24" s="16">
        <f>AVERAGE(J21:J24)</f>
        <v>65.875</v>
      </c>
      <c r="L24" s="16">
        <v>37.6875738266923</v>
      </c>
      <c r="M24" s="16">
        <f>-I24+M23</f>
        <v>-392.2</v>
      </c>
      <c r="N24" s="16">
        <v>-267.526691114474</v>
      </c>
      <c r="O24" s="16">
        <f>1+O23</f>
        <v>21</v>
      </c>
    </row>
    <row r="25" ht="20.05" customHeight="1">
      <c r="B25" s="31"/>
      <c r="C25" s="37"/>
      <c r="D25" s="16"/>
      <c r="E25" s="16"/>
      <c r="F25" s="16"/>
      <c r="G25" s="16"/>
      <c r="H25" s="16"/>
      <c r="I25" s="16"/>
      <c r="J25" s="16"/>
      <c r="K25" s="21"/>
      <c r="L25" s="16">
        <f>SUM('Model'!F8:F9)</f>
        <v>56.171837034047</v>
      </c>
      <c r="M25" s="21"/>
      <c r="N25" s="16">
        <f>'Model'!F32</f>
        <v>-180.467087825667</v>
      </c>
      <c r="O25" s="16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3594" style="38" customWidth="1"/>
    <col min="2" max="2" width="7.73438" style="38" customWidth="1"/>
    <col min="3" max="11" width="9.98438" style="38" customWidth="1"/>
    <col min="12" max="16384" width="16.3516" style="38" customWidth="1"/>
  </cols>
  <sheetData>
    <row r="1" ht="13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23</v>
      </c>
      <c r="F3" t="s" s="5">
        <v>24</v>
      </c>
      <c r="G3" t="s" s="5">
        <v>11</v>
      </c>
      <c r="H3" t="s" s="5">
        <v>26</v>
      </c>
      <c r="I3" t="s" s="5">
        <v>27</v>
      </c>
      <c r="J3" t="s" s="5">
        <v>54</v>
      </c>
      <c r="K3" t="s" s="5">
        <v>36</v>
      </c>
    </row>
    <row r="4" ht="20.25" customHeight="1">
      <c r="B4" s="27">
        <v>2018</v>
      </c>
      <c r="C4" s="36"/>
      <c r="D4" s="30"/>
      <c r="E4" s="30">
        <f>D4-C4</f>
        <v>0</v>
      </c>
      <c r="F4" s="30"/>
      <c r="G4" s="30"/>
      <c r="H4" s="30"/>
      <c r="I4" s="30"/>
      <c r="J4" s="30"/>
      <c r="K4" s="30"/>
    </row>
    <row r="5" ht="20.05" customHeight="1">
      <c r="B5" s="31"/>
      <c r="C5" s="15">
        <v>136</v>
      </c>
      <c r="D5" s="16">
        <v>357</v>
      </c>
      <c r="E5" s="16">
        <f>D5-C5</f>
        <v>221</v>
      </c>
      <c r="F5" s="16"/>
      <c r="G5" s="16">
        <v>129</v>
      </c>
      <c r="H5" s="16">
        <v>228</v>
      </c>
      <c r="I5" s="16">
        <f>G5+H5-C5-E5</f>
        <v>0</v>
      </c>
      <c r="J5" s="16">
        <f>C5-G5</f>
        <v>7</v>
      </c>
      <c r="K5" s="16"/>
    </row>
    <row r="6" ht="20.05" customHeight="1">
      <c r="B6" s="31"/>
      <c r="C6" s="15">
        <v>981</v>
      </c>
      <c r="D6" s="16">
        <v>1222</v>
      </c>
      <c r="E6" s="16">
        <f>D6-C6</f>
        <v>241</v>
      </c>
      <c r="F6" s="16"/>
      <c r="G6" s="16">
        <v>107</v>
      </c>
      <c r="H6" s="16">
        <v>1115</v>
      </c>
      <c r="I6" s="16">
        <f>G6+H6-C6-E6</f>
        <v>0</v>
      </c>
      <c r="J6" s="16">
        <f>C6-G6</f>
        <v>874</v>
      </c>
      <c r="K6" s="16"/>
    </row>
    <row r="7" ht="20.05" customHeight="1">
      <c r="B7" s="31"/>
      <c r="C7" s="15">
        <v>557</v>
      </c>
      <c r="D7" s="16">
        <v>1255</v>
      </c>
      <c r="E7" s="16">
        <f>D7-C7</f>
        <v>698</v>
      </c>
      <c r="F7" s="16"/>
      <c r="G7" s="16">
        <v>152</v>
      </c>
      <c r="H7" s="16">
        <v>1103</v>
      </c>
      <c r="I7" s="16">
        <f>G7+H7-C7-E7</f>
        <v>0</v>
      </c>
      <c r="J7" s="16">
        <f>C7-G7</f>
        <v>405</v>
      </c>
      <c r="K7" s="16"/>
    </row>
    <row r="8" ht="20.05" customHeight="1">
      <c r="B8" s="32">
        <v>2019</v>
      </c>
      <c r="C8" s="15">
        <v>552</v>
      </c>
      <c r="D8" s="16">
        <v>1240</v>
      </c>
      <c r="E8" s="16">
        <f>D8-C8</f>
        <v>688</v>
      </c>
      <c r="F8" s="16"/>
      <c r="G8" s="16">
        <v>87</v>
      </c>
      <c r="H8" s="16">
        <v>1153</v>
      </c>
      <c r="I8" s="16">
        <f>G8+H8-C8-E8</f>
        <v>0</v>
      </c>
      <c r="J8" s="16">
        <f>C8-G8</f>
        <v>465</v>
      </c>
      <c r="K8" s="16"/>
    </row>
    <row r="9" ht="20.05" customHeight="1">
      <c r="B9" s="31"/>
      <c r="C9" s="15">
        <v>573</v>
      </c>
      <c r="D9" s="16">
        <v>1281</v>
      </c>
      <c r="E9" s="16">
        <f>D9-C9</f>
        <v>708</v>
      </c>
      <c r="F9" s="16"/>
      <c r="G9" s="16">
        <v>87</v>
      </c>
      <c r="H9" s="16">
        <v>1194</v>
      </c>
      <c r="I9" s="16">
        <f>G9+H9-C9-E9</f>
        <v>0</v>
      </c>
      <c r="J9" s="16">
        <f>C9-G9</f>
        <v>486</v>
      </c>
      <c r="K9" s="16"/>
    </row>
    <row r="10" ht="20.05" customHeight="1">
      <c r="B10" s="31"/>
      <c r="C10" s="15">
        <v>420</v>
      </c>
      <c r="D10" s="16">
        <v>1196</v>
      </c>
      <c r="E10" s="16">
        <f>D10-C10</f>
        <v>776</v>
      </c>
      <c r="F10" s="16"/>
      <c r="G10" s="16">
        <v>83</v>
      </c>
      <c r="H10" s="16">
        <v>1113</v>
      </c>
      <c r="I10" s="16">
        <f>G10+H10-C10-E10</f>
        <v>0</v>
      </c>
      <c r="J10" s="16">
        <f>C10-G10</f>
        <v>337</v>
      </c>
      <c r="K10" s="16"/>
    </row>
    <row r="11" ht="20.05" customHeight="1">
      <c r="B11" s="31"/>
      <c r="C11" s="15">
        <v>491</v>
      </c>
      <c r="D11" s="16">
        <v>1265</v>
      </c>
      <c r="E11" s="16">
        <f>D11-C11</f>
        <v>774</v>
      </c>
      <c r="F11" s="16"/>
      <c r="G11" s="16">
        <v>192</v>
      </c>
      <c r="H11" s="16">
        <v>1073</v>
      </c>
      <c r="I11" s="16">
        <f>G11+H11-C11-E11</f>
        <v>0</v>
      </c>
      <c r="J11" s="16">
        <f>C11-G11</f>
        <v>299</v>
      </c>
      <c r="K11" s="20"/>
    </row>
    <row r="12" ht="20.05" customHeight="1">
      <c r="B12" s="32">
        <v>2020</v>
      </c>
      <c r="C12" s="15">
        <v>512</v>
      </c>
      <c r="D12" s="16">
        <v>1958</v>
      </c>
      <c r="E12" s="16">
        <f>D12-C12</f>
        <v>1446</v>
      </c>
      <c r="F12" s="16"/>
      <c r="G12" s="16">
        <v>864</v>
      </c>
      <c r="H12" s="16">
        <v>1094</v>
      </c>
      <c r="I12" s="16">
        <f>G12+H12-C12-E12</f>
        <v>0</v>
      </c>
      <c r="J12" s="16">
        <f>C12-G12</f>
        <v>-352</v>
      </c>
      <c r="K12" s="20"/>
    </row>
    <row r="13" ht="20.05" customHeight="1">
      <c r="B13" s="31"/>
      <c r="C13" s="15">
        <v>518</v>
      </c>
      <c r="D13" s="16">
        <v>1925</v>
      </c>
      <c r="E13" s="16">
        <f>D13-C13</f>
        <v>1407</v>
      </c>
      <c r="F13" s="16"/>
      <c r="G13" s="16">
        <v>852</v>
      </c>
      <c r="H13" s="16">
        <v>1073</v>
      </c>
      <c r="I13" s="16">
        <f>G13+H13-C13-E13</f>
        <v>0</v>
      </c>
      <c r="J13" s="16">
        <f>C13-G13</f>
        <v>-334</v>
      </c>
      <c r="K13" s="20"/>
    </row>
    <row r="14" ht="20.05" customHeight="1">
      <c r="B14" s="31"/>
      <c r="C14" s="15">
        <v>525</v>
      </c>
      <c r="D14" s="16">
        <v>1856</v>
      </c>
      <c r="E14" s="16">
        <f>D14-C14</f>
        <v>1331</v>
      </c>
      <c r="F14" s="16"/>
      <c r="G14" s="16">
        <v>826</v>
      </c>
      <c r="H14" s="16">
        <v>1030</v>
      </c>
      <c r="I14" s="16">
        <f>G14+H14-C14-E14</f>
        <v>0</v>
      </c>
      <c r="J14" s="16">
        <f>C14-G14</f>
        <v>-301</v>
      </c>
      <c r="K14" s="16"/>
    </row>
    <row r="15" ht="20.05" customHeight="1">
      <c r="B15" s="31"/>
      <c r="C15" s="15">
        <v>520</v>
      </c>
      <c r="D15" s="16">
        <v>1825</v>
      </c>
      <c r="E15" s="16">
        <f>D15-C15</f>
        <v>1305</v>
      </c>
      <c r="F15" s="16">
        <f>78+12+75</f>
        <v>165</v>
      </c>
      <c r="G15" s="16">
        <v>820</v>
      </c>
      <c r="H15" s="16">
        <v>1005</v>
      </c>
      <c r="I15" s="16">
        <f>G15+H15-C15-E15</f>
        <v>0</v>
      </c>
      <c r="J15" s="16">
        <f>C15-G15</f>
        <v>-300</v>
      </c>
      <c r="K15" s="20"/>
    </row>
    <row r="16" ht="20.05" customHeight="1">
      <c r="B16" s="32">
        <v>2021</v>
      </c>
      <c r="C16" s="15">
        <v>580</v>
      </c>
      <c r="D16" s="16">
        <v>1880</v>
      </c>
      <c r="E16" s="16">
        <f>D16-C16</f>
        <v>1300</v>
      </c>
      <c r="F16" s="16">
        <f>75+12+84</f>
        <v>171</v>
      </c>
      <c r="G16" s="16">
        <v>857</v>
      </c>
      <c r="H16" s="16">
        <v>1023</v>
      </c>
      <c r="I16" s="16">
        <f>G16+H16-C16-E16</f>
        <v>0</v>
      </c>
      <c r="J16" s="16">
        <f>C16-G16</f>
        <v>-277</v>
      </c>
      <c r="K16" s="20"/>
    </row>
    <row r="17" ht="20.05" customHeight="1">
      <c r="B17" s="31"/>
      <c r="C17" s="15">
        <v>652</v>
      </c>
      <c r="D17" s="16">
        <v>1875</v>
      </c>
      <c r="E17" s="16">
        <f>D17-C17</f>
        <v>1223</v>
      </c>
      <c r="F17" s="16">
        <f>91+12+75</f>
        <v>178</v>
      </c>
      <c r="G17" s="16">
        <v>855</v>
      </c>
      <c r="H17" s="16">
        <v>1020</v>
      </c>
      <c r="I17" s="16">
        <f>G17+H17-C17-E17</f>
        <v>0</v>
      </c>
      <c r="J17" s="16">
        <f>C17-G17</f>
        <v>-203</v>
      </c>
      <c r="K17" s="20"/>
    </row>
    <row r="18" ht="20.05" customHeight="1">
      <c r="B18" s="31"/>
      <c r="C18" s="15">
        <v>706</v>
      </c>
      <c r="D18" s="16">
        <v>1881</v>
      </c>
      <c r="E18" s="16">
        <f>D18-C18</f>
        <v>1175</v>
      </c>
      <c r="F18" s="16">
        <f>97+12+75</f>
        <v>184</v>
      </c>
      <c r="G18" s="16">
        <v>859</v>
      </c>
      <c r="H18" s="16">
        <v>1022</v>
      </c>
      <c r="I18" s="16">
        <f>G18+H18-C18-E18</f>
        <v>0</v>
      </c>
      <c r="J18" s="16">
        <f>C18-G18</f>
        <v>-153</v>
      </c>
      <c r="K18" s="20"/>
    </row>
    <row r="19" ht="20.05" customHeight="1">
      <c r="B19" s="31"/>
      <c r="C19" s="15">
        <v>769</v>
      </c>
      <c r="D19" s="16">
        <v>1963</v>
      </c>
      <c r="E19" s="16">
        <f>D19-C19</f>
        <v>1194</v>
      </c>
      <c r="F19" s="16">
        <f>150+13+106</f>
        <v>269</v>
      </c>
      <c r="G19" s="16">
        <v>898</v>
      </c>
      <c r="H19" s="16">
        <v>1065</v>
      </c>
      <c r="I19" s="16">
        <f>G19+H19-C19-E19</f>
        <v>0</v>
      </c>
      <c r="J19" s="16">
        <f>C19-G19</f>
        <v>-129</v>
      </c>
      <c r="K19" s="20"/>
    </row>
    <row r="20" ht="20.05" customHeight="1">
      <c r="B20" s="32">
        <v>2022</v>
      </c>
      <c r="C20" s="15">
        <v>833</v>
      </c>
      <c r="D20" s="16">
        <v>2019</v>
      </c>
      <c r="E20" s="16">
        <f>D20-C20</f>
        <v>1186</v>
      </c>
      <c r="F20" s="16">
        <f>168+13+112</f>
        <v>293</v>
      </c>
      <c r="G20" s="16">
        <v>919</v>
      </c>
      <c r="H20" s="16">
        <v>1100</v>
      </c>
      <c r="I20" s="16">
        <f>G20+H20-C20-E20</f>
        <v>0</v>
      </c>
      <c r="J20" s="16">
        <f>C20-G20</f>
        <v>-86</v>
      </c>
      <c r="K20" s="33">
        <v>-41.5486837801311</v>
      </c>
    </row>
    <row r="21" ht="20.05" customHeight="1">
      <c r="B21" s="31"/>
      <c r="C21" s="15"/>
      <c r="D21" s="16"/>
      <c r="E21" s="16">
        <f>D21-C21</f>
        <v>0</v>
      </c>
      <c r="F21" s="16"/>
      <c r="G21" s="16"/>
      <c r="H21" s="16"/>
      <c r="I21" s="16"/>
      <c r="J21" s="16"/>
      <c r="K21" s="33">
        <f>'Model'!F30</f>
        <v>88.683030490110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85156" style="39" customWidth="1"/>
    <col min="2" max="4" width="8.42188" style="39" customWidth="1"/>
    <col min="5" max="16384" width="16.3516" style="39" customWidth="1"/>
  </cols>
  <sheetData>
    <row r="1" ht="50" customHeight="1"/>
    <row r="2" ht="27.65" customHeight="1">
      <c r="B2" t="s" s="2">
        <v>55</v>
      </c>
      <c r="C2" s="2"/>
      <c r="D2" s="2"/>
    </row>
    <row r="3" ht="20.25" customHeight="1">
      <c r="B3" s="4"/>
      <c r="C3" t="s" s="3">
        <v>55</v>
      </c>
      <c r="D3" t="s" s="3">
        <v>56</v>
      </c>
    </row>
    <row r="4" ht="20.25" customHeight="1">
      <c r="B4" s="27">
        <v>2018</v>
      </c>
      <c r="C4" s="28"/>
      <c r="D4" s="8"/>
    </row>
    <row r="5" ht="20.05" customHeight="1">
      <c r="B5" s="31"/>
      <c r="C5" s="40"/>
      <c r="D5" s="21"/>
    </row>
    <row r="6" ht="20.05" customHeight="1">
      <c r="B6" s="31"/>
      <c r="C6" s="15">
        <v>1640</v>
      </c>
      <c r="D6" s="21"/>
    </row>
    <row r="7" ht="20.05" customHeight="1">
      <c r="B7" s="31"/>
      <c r="C7" s="15">
        <v>1640</v>
      </c>
      <c r="D7" s="21"/>
    </row>
    <row r="8" ht="20.05" customHeight="1">
      <c r="B8" s="32">
        <v>2019</v>
      </c>
      <c r="C8" s="15">
        <v>1380</v>
      </c>
      <c r="D8" s="21"/>
    </row>
    <row r="9" ht="20.05" customHeight="1">
      <c r="B9" s="31"/>
      <c r="C9" s="15">
        <v>1290</v>
      </c>
      <c r="D9" s="21"/>
    </row>
    <row r="10" ht="20.05" customHeight="1">
      <c r="B10" s="31"/>
      <c r="C10" s="15">
        <v>1040</v>
      </c>
      <c r="D10" s="16"/>
    </row>
    <row r="11" ht="20.05" customHeight="1">
      <c r="B11" s="31"/>
      <c r="C11" s="15">
        <v>680</v>
      </c>
      <c r="D11" s="21"/>
    </row>
    <row r="12" ht="20.05" customHeight="1">
      <c r="B12" s="32">
        <v>2020</v>
      </c>
      <c r="C12" s="15">
        <v>278</v>
      </c>
      <c r="D12" s="16"/>
    </row>
    <row r="13" ht="20.05" customHeight="1">
      <c r="B13" s="31"/>
      <c r="C13" s="37">
        <v>427.670624</v>
      </c>
      <c r="D13" s="21"/>
    </row>
    <row r="14" ht="20.05" customHeight="1">
      <c r="B14" s="31"/>
      <c r="C14" s="37">
        <v>368</v>
      </c>
      <c r="D14" s="21"/>
    </row>
    <row r="15" ht="20.05" customHeight="1">
      <c r="B15" s="31"/>
      <c r="C15" s="37">
        <v>530</v>
      </c>
      <c r="D15" s="21"/>
    </row>
    <row r="16" ht="20.05" customHeight="1">
      <c r="B16" s="32">
        <v>2021</v>
      </c>
      <c r="C16" s="15">
        <v>580</v>
      </c>
      <c r="D16" s="21"/>
    </row>
    <row r="17" ht="20.05" customHeight="1">
      <c r="B17" s="31"/>
      <c r="C17" s="15">
        <v>490</v>
      </c>
      <c r="D17" s="21"/>
    </row>
    <row r="18" ht="20.05" customHeight="1">
      <c r="B18" s="31"/>
      <c r="C18" s="15">
        <v>595</v>
      </c>
      <c r="D18" s="21"/>
    </row>
    <row r="19" ht="20.05" customHeight="1">
      <c r="B19" s="31"/>
      <c r="C19" s="15">
        <v>515</v>
      </c>
      <c r="D19" s="20">
        <v>805.3759489339679</v>
      </c>
    </row>
    <row r="20" ht="20.05" customHeight="1">
      <c r="B20" s="32">
        <v>2022</v>
      </c>
      <c r="C20" s="15">
        <v>550</v>
      </c>
      <c r="D20" s="20">
        <v>898.164754388114</v>
      </c>
    </row>
    <row r="21" ht="20.05" customHeight="1">
      <c r="B21" s="31"/>
      <c r="C21" s="15">
        <v>610</v>
      </c>
      <c r="D21" s="20">
        <v>987.172072390539</v>
      </c>
    </row>
    <row r="22" ht="20.05" customHeight="1">
      <c r="B22" s="31"/>
      <c r="C22" s="15"/>
      <c r="D22" s="14">
        <f>'Model'!F43</f>
        <v>1187.580058151690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