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<sst xmlns="http://schemas.openxmlformats.org/spreadsheetml/2006/main" uniqueCount="59">
  <si>
    <t>Financial model</t>
  </si>
  <si>
    <t>Rpbn</t>
  </si>
  <si>
    <t>4Q 2022</t>
  </si>
  <si>
    <t>Cash flow</t>
  </si>
  <si>
    <t>Growth</t>
  </si>
  <si>
    <t>Sales</t>
  </si>
  <si>
    <t>Cost ratio</t>
  </si>
  <si>
    <t xml:space="preserve">Cash costs </t>
  </si>
  <si>
    <t>Operating</t>
  </si>
  <si>
    <t>Investment</t>
  </si>
  <si>
    <t>Leases</t>
  </si>
  <si>
    <t>Finance</t>
  </si>
  <si>
    <t xml:space="preserve">Liabilities 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</si>
  <si>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</si>
  <si>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</si>
  <si>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</si>
  <si>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</si>
  <si>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</si>
  <si>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</si>
  <si>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</si>
  <si>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</si>
  <si>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</si>
  <si>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</si>
  <si>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</si>
  <si>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</si>
  <si>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assets</t>
  </si>
  <si>
    <t xml:space="preserve">Equity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</si>
  <si>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</si>
  <si>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</si>
  <si>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</si>
  <si>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</si>
  <si>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</si>
  <si>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</si>
  <si>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</si>
  <si>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>Cashflow</t>
  </si>
  <si>
    <t>Payback</t>
  </si>
  <si>
    <t xml:space="preserve">Forecast </t>
  </si>
  <si>
    <t>Value</t>
  </si>
  <si>
    <t>Shares</t>
  </si>
  <si>
    <t>Target</t>
  </si>
  <si>
    <t xml:space="preserve">Current </t>
  </si>
  <si>
    <t>V target</t>
  </si>
  <si>
    <t xml:space="preserve">12 month growth </t>
  </si>
  <si>
    <t xml:space="preserve">Sales forecasts </t>
  </si>
  <si>
    <t>FX</t>
  </si>
  <si>
    <t xml:space="preserve">Profit </t>
  </si>
  <si>
    <t xml:space="preserve">Sales growth </t>
  </si>
  <si>
    <t xml:space="preserve">Cash flow costs </t>
  </si>
  <si>
    <t>Receipts</t>
  </si>
  <si>
    <t xml:space="preserve">Operating </t>
  </si>
  <si>
    <t xml:space="preserve">Investment </t>
  </si>
  <si>
    <t xml:space="preserve">Free cashflow </t>
  </si>
  <si>
    <t>Rptn</t>
  </si>
  <si>
    <t>Cash</t>
  </si>
  <si>
    <t>Assets</t>
  </si>
  <si>
    <t>Check</t>
  </si>
  <si>
    <t>Net cash</t>
  </si>
  <si>
    <t>INDF</t>
  </si>
  <si>
    <t>Previous target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</si>
</sst>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%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38" fontId="3" borderId="3" applyNumberFormat="1" applyFont="1" applyFill="0" applyBorder="1" applyAlignment="1" applyProtection="0">
      <alignment horizontal="right" vertical="center" wrapText="1" readingOrder="1"/>
    </xf>
    <xf numFmtId="38" fontId="3" borderId="6" applyNumberFormat="1" applyFont="1" applyFill="0" applyBorder="1" applyAlignment="1" applyProtection="0">
      <alignment horizontal="right" vertical="center" wrapText="1" readingOrder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2323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604006</xdr:colOff>
      <xdr:row>2</xdr:row>
      <xdr:rowOff>24990</xdr:rowOff>
    </xdr:from>
    <xdr:to>
      <xdr:col>13</xdr:col>
      <xdr:colOff>753019</xdr:colOff>
      <xdr:row>48</xdr:row>
      <xdr:rowOff>127630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582406" y="1244190"/>
          <a:ext cx="8861214" cy="1182093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1.2578" style="1" customWidth="1"/>
    <col min="2" max="2" width="15.3906" style="1" customWidth="1"/>
    <col min="3" max="6" width="9.70312" style="1" customWidth="1"/>
    <col min="7" max="16384" width="16.3516" style="1" customWidth="1"/>
  </cols>
  <sheetData>
    <row r="1" ht="68.3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s="4"/>
      <c r="F3" t="s" s="5">
        <v>2</v>
      </c>
    </row>
    <row r="4" ht="20.25" customHeight="1">
      <c r="B4" t="s" s="6">
        <v>3</v>
      </c>
      <c r="C4" s="7">
        <f>AVERAGE('Sales'!H28:H31)</f>
        <v>0.0393885506765014</v>
      </c>
      <c r="D4" s="8"/>
      <c r="E4" s="8"/>
      <c r="F4" s="9">
        <f>AVERAGE(C5:F5)</f>
        <v>0.0175</v>
      </c>
    </row>
    <row r="5" ht="20.05" customHeight="1">
      <c r="B5" t="s" s="10">
        <v>4</v>
      </c>
      <c r="C5" s="11">
        <v>-0.01</v>
      </c>
      <c r="D5" s="12">
        <v>0.02</v>
      </c>
      <c r="E5" s="12">
        <v>0.03</v>
      </c>
      <c r="F5" s="12">
        <v>0.03</v>
      </c>
    </row>
    <row r="6" ht="20.05" customHeight="1">
      <c r="B6" t="s" s="10">
        <v>5</v>
      </c>
      <c r="C6" s="13">
        <f>'Sales'!C31*(1+C5)</f>
        <v>26271.927</v>
      </c>
      <c r="D6" s="14">
        <f>C6*(1+D5)</f>
        <v>26797.36554</v>
      </c>
      <c r="E6" s="14">
        <f>D6*(1+E5)</f>
        <v>27601.2865062</v>
      </c>
      <c r="F6" s="14">
        <f>E6*(1+F5)</f>
        <v>28429.325101386</v>
      </c>
    </row>
    <row r="7" ht="20.05" customHeight="1">
      <c r="B7" t="s" s="10">
        <v>6</v>
      </c>
      <c r="C7" s="15">
        <f>AVERAGE('Sales'!I31)</f>
        <v>-0.841189570905857</v>
      </c>
      <c r="D7" s="16">
        <f>C7</f>
        <v>-0.841189570905857</v>
      </c>
      <c r="E7" s="16">
        <f>D7</f>
        <v>-0.841189570905857</v>
      </c>
      <c r="F7" s="16">
        <f>E7</f>
        <v>-0.841189570905857</v>
      </c>
    </row>
    <row r="8" ht="20.05" customHeight="1">
      <c r="B8" t="s" s="10">
        <v>7</v>
      </c>
      <c r="C8" s="17">
        <f>C7*C6</f>
        <v>-22099.671</v>
      </c>
      <c r="D8" s="18">
        <f>D7*D6</f>
        <v>-22541.66442</v>
      </c>
      <c r="E8" s="18">
        <f>E7*E6</f>
        <v>-23217.9143526</v>
      </c>
      <c r="F8" s="18">
        <f>F7*F6</f>
        <v>-23914.451783178</v>
      </c>
    </row>
    <row r="9" ht="20.05" customHeight="1">
      <c r="B9" t="s" s="10">
        <v>8</v>
      </c>
      <c r="C9" s="17">
        <f>C6+C8</f>
        <v>4172.256</v>
      </c>
      <c r="D9" s="18">
        <f>D6+D8</f>
        <v>4255.70112</v>
      </c>
      <c r="E9" s="18">
        <f>E6+E8</f>
        <v>4383.3721536</v>
      </c>
      <c r="F9" s="18">
        <f>F6+F8</f>
        <v>4514.873318208</v>
      </c>
    </row>
    <row r="10" ht="20.05" customHeight="1">
      <c r="B10" t="s" s="10">
        <v>9</v>
      </c>
      <c r="C10" s="17">
        <f>AVERAGE('Cashflow'!E30:E31)</f>
        <v>-924.05</v>
      </c>
      <c r="D10" s="18">
        <f>C10</f>
        <v>-924.05</v>
      </c>
      <c r="E10" s="18">
        <f>D10</f>
        <v>-924.05</v>
      </c>
      <c r="F10" s="18">
        <f>E10</f>
        <v>-924.05</v>
      </c>
    </row>
    <row r="11" ht="20.05" customHeight="1">
      <c r="B11" t="s" s="10">
        <v>10</v>
      </c>
      <c r="C11" s="17">
        <f>AVERAGE('Cashflow'!F28:F31)</f>
        <v>-85.45</v>
      </c>
      <c r="D11" s="18">
        <f>C11</f>
        <v>-85.45</v>
      </c>
      <c r="E11" s="18">
        <f>D11</f>
        <v>-85.45</v>
      </c>
      <c r="F11" s="18">
        <f>E11</f>
        <v>-85.45</v>
      </c>
    </row>
    <row r="12" ht="20.05" customHeight="1">
      <c r="B12" t="s" s="10">
        <v>11</v>
      </c>
      <c r="C12" s="17">
        <f>C13+C14+C16</f>
        <v>-3162.756</v>
      </c>
      <c r="D12" s="18">
        <f>D13+D14+D16</f>
        <v>-3246.20112</v>
      </c>
      <c r="E12" s="18">
        <f>E13+E14+E16</f>
        <v>-3373.8721536</v>
      </c>
      <c r="F12" s="18">
        <f>F13+F14+F16</f>
        <v>-3505.373318208</v>
      </c>
    </row>
    <row r="13" ht="20.05" customHeight="1">
      <c r="B13" t="s" s="10">
        <v>12</v>
      </c>
      <c r="C13" s="17">
        <f>-('Balance sheet'!G27)/20</f>
        <v>-4636.2</v>
      </c>
      <c r="D13" s="18">
        <f>-C27/20</f>
        <v>-4400.1175</v>
      </c>
      <c r="E13" s="18">
        <f>-D27/20</f>
        <v>-4175.839125</v>
      </c>
      <c r="F13" s="18">
        <f>-E27/20</f>
        <v>-3962.77466875</v>
      </c>
    </row>
    <row r="14" ht="20.05" customHeight="1">
      <c r="B14" t="s" s="10">
        <v>13</v>
      </c>
      <c r="C14" s="17">
        <f>IF(C22&gt;0,-C22*0.2,0)</f>
        <v>-640.9112</v>
      </c>
      <c r="D14" s="18">
        <f>IF(D22&gt;0,-D22*0.2,0)</f>
        <v>-657.600224</v>
      </c>
      <c r="E14" s="18">
        <f>IF(E22&gt;0,-E22*0.2,0)</f>
        <v>-683.13443072</v>
      </c>
      <c r="F14" s="18">
        <f>IF(F22&gt;0,-F22*0.2,0)</f>
        <v>-709.4346636416</v>
      </c>
    </row>
    <row r="15" ht="20.05" customHeight="1">
      <c r="B15" t="s" s="10">
        <v>14</v>
      </c>
      <c r="C15" s="17">
        <f>C9+C10+C13+C14+C11</f>
        <v>-2114.3552</v>
      </c>
      <c r="D15" s="18">
        <f>D9+D10+D13+D14+D11</f>
        <v>-1811.516604</v>
      </c>
      <c r="E15" s="18">
        <f>E9+E10+E13+E14+E11</f>
        <v>-1485.10140212</v>
      </c>
      <c r="F15" s="18">
        <f>F9+F10+F13+F14+F11</f>
        <v>-1166.8360141836</v>
      </c>
    </row>
    <row r="16" ht="20.05" customHeight="1">
      <c r="B16" t="s" s="10">
        <v>15</v>
      </c>
      <c r="C16" s="17">
        <f>-MIN(0,C15)</f>
        <v>2114.3552</v>
      </c>
      <c r="D16" s="18">
        <f>-MIN(C28,D15)</f>
        <v>1811.516604</v>
      </c>
      <c r="E16" s="18">
        <f>-MIN(D28,E15)</f>
        <v>1485.10140212</v>
      </c>
      <c r="F16" s="18">
        <f>-MIN(E28,F15)</f>
        <v>1166.8360141836</v>
      </c>
    </row>
    <row r="17" ht="20.05" customHeight="1">
      <c r="B17" t="s" s="10">
        <v>16</v>
      </c>
      <c r="C17" s="17">
        <f>'Balance sheet'!C27</f>
        <v>29478</v>
      </c>
      <c r="D17" s="18">
        <f>C19</f>
        <v>29478</v>
      </c>
      <c r="E17" s="18">
        <f>D19</f>
        <v>29478</v>
      </c>
      <c r="F17" s="18">
        <f>E19</f>
        <v>29478</v>
      </c>
    </row>
    <row r="18" ht="20.05" customHeight="1">
      <c r="B18" t="s" s="10">
        <v>17</v>
      </c>
      <c r="C18" s="17">
        <f>C9+C10+C11+C12</f>
        <v>0</v>
      </c>
      <c r="D18" s="18">
        <f>D9+D10+D11+D12</f>
        <v>0</v>
      </c>
      <c r="E18" s="18">
        <f>E9+E10+E11+E12</f>
        <v>0</v>
      </c>
      <c r="F18" s="18">
        <f>F9+F10+F11+F12</f>
        <v>0</v>
      </c>
    </row>
    <row r="19" ht="20.05" customHeight="1">
      <c r="B19" t="s" s="10">
        <v>18</v>
      </c>
      <c r="C19" s="17">
        <f>C17+C18</f>
        <v>29478</v>
      </c>
      <c r="D19" s="18">
        <f>D17+D18</f>
        <v>29478</v>
      </c>
      <c r="E19" s="18">
        <f>E17+E18</f>
        <v>29478</v>
      </c>
      <c r="F19" s="18">
        <f>F17+F18</f>
        <v>29478</v>
      </c>
    </row>
    <row r="20" ht="20.05" customHeight="1">
      <c r="B20" t="s" s="19">
        <v>19</v>
      </c>
      <c r="C20" s="20"/>
      <c r="D20" s="21"/>
      <c r="E20" s="18"/>
      <c r="F20" s="22"/>
    </row>
    <row r="21" ht="20.05" customHeight="1">
      <c r="B21" t="s" s="10">
        <v>20</v>
      </c>
      <c r="C21" s="17">
        <f>-AVERAGE('Sales'!E28:E31)</f>
        <v>-967.7</v>
      </c>
      <c r="D21" s="18">
        <f>C21</f>
        <v>-967.7</v>
      </c>
      <c r="E21" s="18">
        <f>D21</f>
        <v>-967.7</v>
      </c>
      <c r="F21" s="18">
        <f>E21</f>
        <v>-967.7</v>
      </c>
    </row>
    <row r="22" ht="20.05" customHeight="1">
      <c r="B22" t="s" s="10">
        <v>21</v>
      </c>
      <c r="C22" s="17">
        <f>C6+C8+C21</f>
        <v>3204.556</v>
      </c>
      <c r="D22" s="18">
        <f>D6+D8+D21</f>
        <v>3288.00112</v>
      </c>
      <c r="E22" s="18">
        <f>E6+E8+E21</f>
        <v>3415.6721536</v>
      </c>
      <c r="F22" s="18">
        <f>F6+F8+F21</f>
        <v>3547.173318208</v>
      </c>
    </row>
    <row r="23" ht="20.05" customHeight="1">
      <c r="B23" t="s" s="19">
        <v>22</v>
      </c>
      <c r="C23" s="20"/>
      <c r="D23" s="21"/>
      <c r="E23" s="18"/>
      <c r="F23" s="21"/>
    </row>
    <row r="24" ht="20.05" customHeight="1">
      <c r="B24" t="s" s="10">
        <v>23</v>
      </c>
      <c r="C24" s="17">
        <f>'Balance sheet'!E27+'Balance sheet'!F27-C10</f>
        <v>185593.05</v>
      </c>
      <c r="D24" s="18">
        <f>C24-D10</f>
        <v>186517.1</v>
      </c>
      <c r="E24" s="18">
        <f>D24-E10</f>
        <v>187441.15</v>
      </c>
      <c r="F24" s="18">
        <f>E24-F10</f>
        <v>188365.2</v>
      </c>
    </row>
    <row r="25" ht="20.05" customHeight="1">
      <c r="B25" t="s" s="10">
        <v>24</v>
      </c>
      <c r="C25" s="17">
        <f>'Balance sheet'!F27-C21</f>
        <v>35758.7</v>
      </c>
      <c r="D25" s="18">
        <f>C25-D21</f>
        <v>36726.4</v>
      </c>
      <c r="E25" s="18">
        <f>D25-E21</f>
        <v>37694.1</v>
      </c>
      <c r="F25" s="18">
        <f>E25-F21</f>
        <v>38661.8</v>
      </c>
    </row>
    <row r="26" ht="20.05" customHeight="1">
      <c r="B26" t="s" s="10">
        <v>25</v>
      </c>
      <c r="C26" s="17">
        <f>C24-C25</f>
        <v>149834.35</v>
      </c>
      <c r="D26" s="18">
        <f>D24-D25</f>
        <v>149790.7</v>
      </c>
      <c r="E26" s="18">
        <f>E24-E25</f>
        <v>149747.05</v>
      </c>
      <c r="F26" s="18">
        <f>F24-F25</f>
        <v>149703.4</v>
      </c>
    </row>
    <row r="27" ht="20.05" customHeight="1">
      <c r="B27" t="s" s="10">
        <v>12</v>
      </c>
      <c r="C27" s="17">
        <f>'Balance sheet'!G27+C13+C11</f>
        <v>88002.350000000006</v>
      </c>
      <c r="D27" s="18">
        <f>C27+D13+D11</f>
        <v>83516.7825</v>
      </c>
      <c r="E27" s="18">
        <f>D27+E13+E11</f>
        <v>79255.493375000005</v>
      </c>
      <c r="F27" s="18">
        <f>E27+F13+F11</f>
        <v>75207.26870625</v>
      </c>
    </row>
    <row r="28" ht="20.05" customHeight="1">
      <c r="B28" t="s" s="10">
        <v>15</v>
      </c>
      <c r="C28" s="17">
        <f>C16</f>
        <v>2114.3552</v>
      </c>
      <c r="D28" s="18">
        <f>C28+D16</f>
        <v>3925.871804</v>
      </c>
      <c r="E28" s="18">
        <f>D28+E16</f>
        <v>5410.97320612</v>
      </c>
      <c r="F28" s="18">
        <f>E28+F16</f>
        <v>6577.8092203036</v>
      </c>
    </row>
    <row r="29" ht="20.05" customHeight="1">
      <c r="B29" t="s" s="10">
        <v>26</v>
      </c>
      <c r="C29" s="17">
        <f>'Balance sheet'!H27+C22+C14</f>
        <v>89195.644799999995</v>
      </c>
      <c r="D29" s="18">
        <f>C29+D22+D14</f>
        <v>91826.045696</v>
      </c>
      <c r="E29" s="18">
        <f>D29+E22+E14</f>
        <v>94558.583418880007</v>
      </c>
      <c r="F29" s="18">
        <f>E29+F22+F14</f>
        <v>97396.3220734464</v>
      </c>
    </row>
    <row r="30" ht="20.05" customHeight="1">
      <c r="B30" t="s" s="10">
        <v>27</v>
      </c>
      <c r="C30" s="17">
        <f>C27+C28+C29-C19-C26</f>
        <v>0</v>
      </c>
      <c r="D30" s="18">
        <f>D27+D28+D29-D19-D26</f>
        <v>0</v>
      </c>
      <c r="E30" s="18">
        <f>E27+E28+E29-E19-E26</f>
        <v>0</v>
      </c>
      <c r="F30" s="18">
        <f>F27+F28+F29-F19-F26</f>
        <v>0</v>
      </c>
    </row>
    <row r="31" ht="20.05" customHeight="1">
      <c r="B31" t="s" s="10">
        <v>28</v>
      </c>
      <c r="C31" s="17">
        <f>C19-C27-C28</f>
        <v>-60638.7052</v>
      </c>
      <c r="D31" s="18">
        <f>D19-D27-D28</f>
        <v>-57964.654304</v>
      </c>
      <c r="E31" s="18">
        <f>E19-E27-E28</f>
        <v>-55188.46658112</v>
      </c>
      <c r="F31" s="18">
        <f>F19-F27-F28</f>
        <v>-52307.0779265536</v>
      </c>
    </row>
    <row r="32" ht="20.05" customHeight="1">
      <c r="B32" t="s" s="10">
        <v>29</v>
      </c>
      <c r="C32" s="17"/>
      <c r="D32" s="18"/>
      <c r="E32" s="18"/>
      <c r="F32" s="18"/>
    </row>
    <row r="33" ht="20.05" customHeight="1">
      <c r="B33" t="s" s="19">
        <v>30</v>
      </c>
      <c r="C33" s="17">
        <f>'Cashflow'!M31-(C12-C11)</f>
        <v>-15021.894</v>
      </c>
      <c r="D33" s="18">
        <f>C33-(D12-D11)</f>
        <v>-11861.14288</v>
      </c>
      <c r="E33" s="18">
        <f>D33-(E12-E11)</f>
        <v>-8572.720726400001</v>
      </c>
      <c r="F33" s="18">
        <f>E33-(F12-F11)</f>
        <v>-5152.797408192</v>
      </c>
    </row>
    <row r="34" ht="20.05" customHeight="1">
      <c r="B34" t="s" s="10">
        <v>31</v>
      </c>
      <c r="C34" s="17"/>
      <c r="D34" s="18"/>
      <c r="E34" s="18"/>
      <c r="F34" s="18">
        <v>52243560499200</v>
      </c>
    </row>
    <row r="35" ht="20.05" customHeight="1">
      <c r="B35" t="s" s="10">
        <v>31</v>
      </c>
      <c r="C35" s="17"/>
      <c r="D35" s="18"/>
      <c r="E35" s="18"/>
      <c r="F35" s="18">
        <f>F34/1000000000</f>
        <v>52243.5604992</v>
      </c>
    </row>
    <row r="36" ht="20.05" customHeight="1">
      <c r="B36" t="s" s="10">
        <v>32</v>
      </c>
      <c r="C36" s="17"/>
      <c r="D36" s="18"/>
      <c r="E36" s="18"/>
      <c r="F36" s="23">
        <f>F35/(F19+F26)</f>
        <v>0.291567989195307</v>
      </c>
    </row>
    <row r="37" ht="20.05" customHeight="1">
      <c r="B37" t="s" s="10">
        <v>33</v>
      </c>
      <c r="C37" s="17"/>
      <c r="D37" s="18"/>
      <c r="E37" s="18"/>
      <c r="F37" s="16">
        <f>-(C14+D14+E14+F14)/F35</f>
        <v>0.0515102817007047</v>
      </c>
    </row>
    <row r="38" ht="20.05" customHeight="1">
      <c r="B38" t="s" s="10">
        <v>34</v>
      </c>
      <c r="C38" s="17"/>
      <c r="D38" s="18"/>
      <c r="E38" s="18"/>
      <c r="F38" s="18">
        <f>SUM(C9:F11)</f>
        <v>13288.202591808</v>
      </c>
    </row>
    <row r="39" ht="20.05" customHeight="1">
      <c r="B39" t="s" s="10">
        <v>35</v>
      </c>
      <c r="C39" s="17"/>
      <c r="D39" s="18"/>
      <c r="E39" s="18"/>
      <c r="F39" s="18">
        <f>'Balance sheet'!E27/F38</f>
        <v>11.2790273149807</v>
      </c>
    </row>
    <row r="40" ht="20.05" customHeight="1">
      <c r="B40" t="s" s="10">
        <v>29</v>
      </c>
      <c r="C40" s="17"/>
      <c r="D40" s="18"/>
      <c r="E40" s="18"/>
      <c r="F40" s="18">
        <f>F35/F38</f>
        <v>3.93157465340026</v>
      </c>
    </row>
    <row r="41" ht="20.05" customHeight="1">
      <c r="B41" t="s" s="10">
        <v>36</v>
      </c>
      <c r="C41" s="17"/>
      <c r="D41" s="18"/>
      <c r="E41" s="18"/>
      <c r="F41" s="18">
        <v>7</v>
      </c>
    </row>
    <row r="42" ht="20.05" customHeight="1">
      <c r="B42" t="s" s="10">
        <v>37</v>
      </c>
      <c r="C42" s="17"/>
      <c r="D42" s="18"/>
      <c r="E42" s="18"/>
      <c r="F42" s="18">
        <f>F38*F41</f>
        <v>93017.418142656</v>
      </c>
    </row>
    <row r="43" ht="20.05" customHeight="1">
      <c r="B43" t="s" s="10">
        <v>38</v>
      </c>
      <c r="C43" s="17"/>
      <c r="D43" s="18"/>
      <c r="E43" s="18"/>
      <c r="F43" s="18">
        <f>F35/F45</f>
        <v>8.780430336</v>
      </c>
    </row>
    <row r="44" ht="20.05" customHeight="1">
      <c r="B44" t="s" s="10">
        <v>39</v>
      </c>
      <c r="C44" s="17"/>
      <c r="D44" s="18"/>
      <c r="E44" s="18"/>
      <c r="F44" s="18">
        <f>F42/F43</f>
        <v>10593.7197361822</v>
      </c>
    </row>
    <row r="45" ht="20.05" customHeight="1">
      <c r="B45" t="s" s="10">
        <v>40</v>
      </c>
      <c r="C45" s="17"/>
      <c r="D45" s="18"/>
      <c r="E45" s="18"/>
      <c r="F45" s="18">
        <v>5950</v>
      </c>
    </row>
    <row r="46" ht="20.05" customHeight="1">
      <c r="B46" t="s" s="10">
        <v>41</v>
      </c>
      <c r="C46" s="17"/>
      <c r="D46" s="18"/>
      <c r="E46" s="18"/>
      <c r="F46" s="16">
        <f>F44/F45-1</f>
        <v>0.780457098518017</v>
      </c>
    </row>
    <row r="47" ht="20.05" customHeight="1">
      <c r="B47" t="s" s="10">
        <v>42</v>
      </c>
      <c r="C47" s="17"/>
      <c r="D47" s="18"/>
      <c r="E47" s="18"/>
      <c r="F47" s="16">
        <f>'Sales'!C31/'Sales'!C27-1</f>
        <v>0.15575541134968</v>
      </c>
    </row>
    <row r="48" ht="20.05" customHeight="1">
      <c r="B48" t="s" s="10">
        <v>43</v>
      </c>
      <c r="C48" s="17"/>
      <c r="D48" s="18"/>
      <c r="E48" s="18"/>
      <c r="F48" s="16">
        <f>('Sales'!D27+'Sales'!D31+'Sales'!D30+'Sales'!D28+'Sales'!D29)/('Sales'!C27+'Sales'!C28+'Sales'!C30+'Sales'!C31+'Sales'!C29)-1</f>
        <v>-0.0319144428837037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3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17188" style="24" customWidth="1"/>
    <col min="2" max="2" width="11.3281" style="24" customWidth="1"/>
    <col min="3" max="12" width="10.6094" style="24" customWidth="1"/>
    <col min="13" max="16384" width="16.3516" style="24" customWidth="1"/>
  </cols>
  <sheetData>
    <row r="1" ht="24.2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32.25" customHeight="1">
      <c r="B3" t="s" s="5">
        <v>1</v>
      </c>
      <c r="C3" t="s" s="5">
        <v>5</v>
      </c>
      <c r="D3" t="s" s="5">
        <v>36</v>
      </c>
      <c r="E3" t="s" s="5">
        <v>24</v>
      </c>
      <c r="F3" t="s" s="5">
        <v>44</v>
      </c>
      <c r="G3" t="s" s="5">
        <v>45</v>
      </c>
      <c r="H3" t="s" s="5">
        <v>46</v>
      </c>
      <c r="I3" t="s" s="5">
        <v>6</v>
      </c>
      <c r="J3" t="s" s="5">
        <v>6</v>
      </c>
      <c r="K3" t="s" s="5">
        <v>36</v>
      </c>
      <c r="L3" t="s" s="5">
        <v>47</v>
      </c>
    </row>
    <row r="4" ht="20.25" customHeight="1">
      <c r="B4" s="25">
        <v>2015</v>
      </c>
      <c r="C4" s="26">
        <v>15000</v>
      </c>
      <c r="D4" s="27"/>
      <c r="E4" s="28">
        <v>0</v>
      </c>
      <c r="F4" s="28"/>
      <c r="G4" s="29">
        <v>986</v>
      </c>
      <c r="H4" s="9"/>
      <c r="I4" s="30">
        <f>(E4+G4-C4)/C4</f>
        <v>-0.934266666666667</v>
      </c>
      <c r="J4" s="30"/>
      <c r="K4" s="30"/>
      <c r="L4" s="30">
        <f>('Cashflow'!D4-'Cashflow'!C4)/'Cashflow'!C4</f>
        <v>-0.981024407012719</v>
      </c>
    </row>
    <row r="5" ht="20.05" customHeight="1">
      <c r="B5" s="31"/>
      <c r="C5" s="13">
        <v>17600</v>
      </c>
      <c r="D5" s="21"/>
      <c r="E5" s="14">
        <v>1190</v>
      </c>
      <c r="F5" s="14"/>
      <c r="G5" s="18">
        <v>1134</v>
      </c>
      <c r="H5" s="16">
        <f>C5/C4-1</f>
        <v>0.173333333333333</v>
      </c>
      <c r="I5" s="16">
        <f>(E5+G5-C5)/C5</f>
        <v>-0.867954545454545</v>
      </c>
      <c r="J5" s="16"/>
      <c r="K5" s="16"/>
      <c r="L5" s="16">
        <f>('Cashflow'!D5-'Cashflow'!C5)/'Cashflow'!C5</f>
        <v>-0.817550009065087</v>
      </c>
    </row>
    <row r="6" ht="20.05" customHeight="1">
      <c r="B6" s="31"/>
      <c r="C6" s="13">
        <v>14960</v>
      </c>
      <c r="D6" s="21"/>
      <c r="E6" s="14">
        <v>810</v>
      </c>
      <c r="F6" s="14"/>
      <c r="G6" s="18">
        <v>-13</v>
      </c>
      <c r="H6" s="16">
        <f>C6/C5-1</f>
        <v>-0.15</v>
      </c>
      <c r="I6" s="16">
        <f>(E6+G6-C6)/C6</f>
        <v>-0.946724598930481</v>
      </c>
      <c r="J6" s="16"/>
      <c r="K6" s="16"/>
      <c r="L6" s="16">
        <f>('Cashflow'!D6-'Cashflow'!C6)/'Cashflow'!C6</f>
        <v>-1.02496688741722</v>
      </c>
    </row>
    <row r="7" ht="20.05" customHeight="1">
      <c r="B7" s="31"/>
      <c r="C7" s="13">
        <v>16500</v>
      </c>
      <c r="D7" s="21"/>
      <c r="E7" s="14">
        <v>0</v>
      </c>
      <c r="F7" s="14"/>
      <c r="G7" s="18">
        <v>1602</v>
      </c>
      <c r="H7" s="16">
        <f>C7/C6-1</f>
        <v>0.102941176470588</v>
      </c>
      <c r="I7" s="16">
        <f>(E7+G7-C7)/C7</f>
        <v>-0.902909090909091</v>
      </c>
      <c r="J7" s="12"/>
      <c r="K7" s="16"/>
      <c r="L7" s="16">
        <f>('Cashflow'!D7-'Cashflow'!C7)/'Cashflow'!C7</f>
        <v>-0.9249927599189109</v>
      </c>
    </row>
    <row r="8" ht="20.05" customHeight="1">
      <c r="B8" s="32">
        <v>2016</v>
      </c>
      <c r="C8" s="13">
        <v>16500</v>
      </c>
      <c r="D8" s="21"/>
      <c r="E8" s="14">
        <v>610</v>
      </c>
      <c r="F8" s="14"/>
      <c r="G8" s="18">
        <v>1363</v>
      </c>
      <c r="H8" s="16">
        <f>C8/C7-1</f>
        <v>0</v>
      </c>
      <c r="I8" s="16">
        <f>(E8+G8-C8)/C8</f>
        <v>-0.880424242424242</v>
      </c>
      <c r="J8" s="16">
        <f>AVERAGE(I5:I8)</f>
        <v>-0.89950311942959</v>
      </c>
      <c r="K8" s="16"/>
      <c r="L8" s="16">
        <f>('Cashflow'!D8-'Cashflow'!C8)/'Cashflow'!C8</f>
        <v>-0.973428906877588</v>
      </c>
    </row>
    <row r="9" ht="20.05" customHeight="1">
      <c r="B9" s="31"/>
      <c r="C9" s="13">
        <v>17580</v>
      </c>
      <c r="D9" s="21"/>
      <c r="E9" s="14">
        <v>650</v>
      </c>
      <c r="F9" s="14"/>
      <c r="G9" s="18">
        <v>1394</v>
      </c>
      <c r="H9" s="16">
        <f>C9/C8-1</f>
        <v>0.0654545454545455</v>
      </c>
      <c r="I9" s="16">
        <f>(E9+G9-C9)/C9</f>
        <v>-0.883731513083049</v>
      </c>
      <c r="J9" s="16">
        <f>AVERAGE(I6:I9)</f>
        <v>-0.903447361336716</v>
      </c>
      <c r="K9" s="16"/>
      <c r="L9" s="16">
        <f>('Cashflow'!D9-'Cashflow'!C9)/'Cashflow'!C9</f>
        <v>-0.926468791987297</v>
      </c>
    </row>
    <row r="10" ht="20.05" customHeight="1">
      <c r="B10" s="31"/>
      <c r="C10" s="13">
        <v>15790</v>
      </c>
      <c r="D10" s="21"/>
      <c r="E10" s="14">
        <v>666.666666666667</v>
      </c>
      <c r="F10" s="14"/>
      <c r="G10" s="18">
        <v>1342</v>
      </c>
      <c r="H10" s="16">
        <f>C10/C9-1</f>
        <v>-0.101820250284414</v>
      </c>
      <c r="I10" s="16">
        <f>(E10+G10-C10)/C10</f>
        <v>-0.872788684821617</v>
      </c>
      <c r="J10" s="16">
        <f>AVERAGE(I7:I10)</f>
        <v>-0.8849633828095</v>
      </c>
      <c r="K10" s="16"/>
      <c r="L10" s="16">
        <f>('Cashflow'!D10-'Cashflow'!C10)/'Cashflow'!C10</f>
        <v>-0.987705717816952</v>
      </c>
    </row>
    <row r="11" ht="20.05" customHeight="1">
      <c r="B11" s="31"/>
      <c r="C11" s="13">
        <v>16790</v>
      </c>
      <c r="D11" s="21"/>
      <c r="E11" s="14">
        <v>660</v>
      </c>
      <c r="F11" s="14"/>
      <c r="G11" s="18">
        <v>1167</v>
      </c>
      <c r="H11" s="16">
        <f>C11/C10-1</f>
        <v>0.06333122229259019</v>
      </c>
      <c r="I11" s="16">
        <f>(E11+G11-C11)/C11</f>
        <v>-0.891185229303157</v>
      </c>
      <c r="J11" s="16">
        <f>AVERAGE(I8:I11)</f>
        <v>-0.882032417408016</v>
      </c>
      <c r="K11" s="16"/>
      <c r="L11" s="16">
        <f>('Cashflow'!D11-'Cashflow'!C11)/'Cashflow'!C11</f>
        <v>-0.71106192301463</v>
      </c>
    </row>
    <row r="12" ht="20.05" customHeight="1">
      <c r="B12" s="32">
        <v>2017</v>
      </c>
      <c r="C12" s="13">
        <v>17834</v>
      </c>
      <c r="D12" s="21"/>
      <c r="E12" s="14">
        <v>650</v>
      </c>
      <c r="F12" s="14"/>
      <c r="G12" s="18">
        <v>1762</v>
      </c>
      <c r="H12" s="16">
        <f>C12/C11-1</f>
        <v>0.0621798689696248</v>
      </c>
      <c r="I12" s="16">
        <f>(E12+G12-C12)/C12</f>
        <v>-0.8647527195245041</v>
      </c>
      <c r="J12" s="16">
        <f>AVERAGE(I9:I12)</f>
        <v>-0.878114536683082</v>
      </c>
      <c r="K12" s="16"/>
      <c r="L12" s="16">
        <f>('Cashflow'!D12-'Cashflow'!C12)/'Cashflow'!C12</f>
        <v>-0.984429467813154</v>
      </c>
    </row>
    <row r="13" ht="20.05" customHeight="1">
      <c r="B13" s="31"/>
      <c r="C13" s="13">
        <v>17816</v>
      </c>
      <c r="D13" s="21"/>
      <c r="E13" s="14">
        <v>670</v>
      </c>
      <c r="F13" s="14"/>
      <c r="G13" s="18">
        <v>1227</v>
      </c>
      <c r="H13" s="16">
        <f>C13/C12-1</f>
        <v>-0.00100930806324997</v>
      </c>
      <c r="I13" s="16">
        <f>(E13+G13-C13)/C13</f>
        <v>-0.893522676246071</v>
      </c>
      <c r="J13" s="16">
        <f>AVERAGE(I10:I13)</f>
        <v>-0.880562327473837</v>
      </c>
      <c r="K13" s="16"/>
      <c r="L13" s="16">
        <f>('Cashflow'!D13-'Cashflow'!C13)/'Cashflow'!C13</f>
        <v>-0.832527805275724</v>
      </c>
    </row>
    <row r="14" ht="20.05" customHeight="1">
      <c r="B14" s="31"/>
      <c r="C14" s="13">
        <v>17470</v>
      </c>
      <c r="D14" s="21"/>
      <c r="E14" s="14">
        <v>750</v>
      </c>
      <c r="F14" s="14"/>
      <c r="G14" s="18">
        <v>1251</v>
      </c>
      <c r="H14" s="16">
        <f>C14/C13-1</f>
        <v>-0.0194207453973956</v>
      </c>
      <c r="I14" s="16">
        <f>(E14+G14-C14)/C14</f>
        <v>-0.885460789925587</v>
      </c>
      <c r="J14" s="16">
        <f>AVERAGE(I11:I14)</f>
        <v>-0.88373035374983</v>
      </c>
      <c r="K14" s="16"/>
      <c r="L14" s="16">
        <f>('Cashflow'!D14-'Cashflow'!C14)/'Cashflow'!C14</f>
        <v>-0.969014712438698</v>
      </c>
    </row>
    <row r="15" ht="20.05" customHeight="1">
      <c r="B15" s="31"/>
      <c r="C15" s="13">
        <v>17066</v>
      </c>
      <c r="D15" s="21"/>
      <c r="E15" s="14">
        <v>930</v>
      </c>
      <c r="F15" s="14"/>
      <c r="G15" s="18">
        <v>857</v>
      </c>
      <c r="H15" s="16">
        <f>C15/C14-1</f>
        <v>-0.0231253577561534</v>
      </c>
      <c r="I15" s="16">
        <f>(E15+G15-C15)/C15</f>
        <v>-0.895288878471815</v>
      </c>
      <c r="J15" s="16">
        <f>AVERAGE(I12:I15)</f>
        <v>-0.884756266041994</v>
      </c>
      <c r="K15" s="16"/>
      <c r="L15" s="16">
        <f>('Cashflow'!D15-'Cashflow'!C15)/'Cashflow'!C15</f>
        <v>-0.840484173438654</v>
      </c>
    </row>
    <row r="16" ht="20.05" customHeight="1">
      <c r="B16" s="32">
        <v>2018</v>
      </c>
      <c r="C16" s="13">
        <v>17600</v>
      </c>
      <c r="D16" s="21"/>
      <c r="E16" s="14">
        <v>670</v>
      </c>
      <c r="F16" s="14"/>
      <c r="G16" s="18">
        <v>1456</v>
      </c>
      <c r="H16" s="16">
        <f>C16/C15-1</f>
        <v>0.0312902847767491</v>
      </c>
      <c r="I16" s="16">
        <f>(E16+G16-C16)/C16</f>
        <v>-0.879204545454545</v>
      </c>
      <c r="J16" s="16">
        <f>AVERAGE(I13:I16)</f>
        <v>-0.888369222524505</v>
      </c>
      <c r="K16" s="16"/>
      <c r="L16" s="16">
        <f>('Cashflow'!D16-'Cashflow'!C16)/'Cashflow'!C16</f>
        <v>-0.932282718170508</v>
      </c>
    </row>
    <row r="17" ht="20.05" customHeight="1">
      <c r="B17" s="31"/>
      <c r="C17" s="13">
        <v>18400</v>
      </c>
      <c r="D17" s="21"/>
      <c r="E17" s="14">
        <v>740</v>
      </c>
      <c r="F17" s="14"/>
      <c r="G17" s="18">
        <v>977</v>
      </c>
      <c r="H17" s="16">
        <f>C17/C16-1</f>
        <v>0.0454545454545455</v>
      </c>
      <c r="I17" s="16">
        <f>(E17+G17-C17)/C17</f>
        <v>-0.906684782608696</v>
      </c>
      <c r="J17" s="16">
        <f>AVERAGE(I14:I17)</f>
        <v>-0.891659749115161</v>
      </c>
      <c r="K17" s="16"/>
      <c r="L17" s="16">
        <f>('Cashflow'!D17-'Cashflow'!C17)/'Cashflow'!C17</f>
        <v>-0.849185757659398</v>
      </c>
    </row>
    <row r="18" ht="20.05" customHeight="1">
      <c r="B18" s="31"/>
      <c r="C18" s="13">
        <v>18740</v>
      </c>
      <c r="D18" s="21"/>
      <c r="E18" s="14">
        <v>810</v>
      </c>
      <c r="F18" s="14"/>
      <c r="G18" s="18">
        <v>1147</v>
      </c>
      <c r="H18" s="16">
        <f>C18/C17-1</f>
        <v>0.0184782608695652</v>
      </c>
      <c r="I18" s="16">
        <f>(E18+G18-C18)/C18</f>
        <v>-0.895570971184632</v>
      </c>
      <c r="J18" s="16">
        <f>AVERAGE(I15:I18)</f>
        <v>-0.894187294429922</v>
      </c>
      <c r="K18" s="16"/>
      <c r="L18" s="16">
        <f>('Cashflow'!D18-'Cashflow'!C18)/'Cashflow'!C18</f>
        <v>-1.01242203469784</v>
      </c>
    </row>
    <row r="19" ht="20.05" customHeight="1">
      <c r="B19" s="31"/>
      <c r="C19" s="13">
        <v>18655</v>
      </c>
      <c r="D19" s="21"/>
      <c r="E19" s="14">
        <v>800</v>
      </c>
      <c r="F19" s="14"/>
      <c r="G19" s="18">
        <v>1380</v>
      </c>
      <c r="H19" s="16">
        <f>C19/C18-1</f>
        <v>-0.00453575240128068</v>
      </c>
      <c r="I19" s="16">
        <f>(E19+G19-C19)/C19</f>
        <v>-0.883141248994908</v>
      </c>
      <c r="J19" s="16">
        <f>AVERAGE(I16:I19)</f>
        <v>-0.891150387060695</v>
      </c>
      <c r="K19" s="16"/>
      <c r="L19" s="16">
        <f>('Cashflow'!D19-'Cashflow'!C19)/'Cashflow'!C19</f>
        <v>-0.881707693892265</v>
      </c>
    </row>
    <row r="20" ht="20.05" customHeight="1">
      <c r="B20" s="32">
        <v>2019</v>
      </c>
      <c r="C20" s="13">
        <v>19169</v>
      </c>
      <c r="D20" s="21"/>
      <c r="E20" s="14">
        <v>720</v>
      </c>
      <c r="F20" s="14"/>
      <c r="G20" s="18">
        <v>1630</v>
      </c>
      <c r="H20" s="16">
        <f>C20/C19-1</f>
        <v>0.027552934870008</v>
      </c>
      <c r="I20" s="16">
        <f>(E20+G20-C20)/C20</f>
        <v>-0.877406228806928</v>
      </c>
      <c r="J20" s="16">
        <f>AVERAGE(I17:I20)</f>
        <v>-0.890700807898791</v>
      </c>
      <c r="K20" s="16"/>
      <c r="L20" s="16">
        <f>('Cashflow'!D20-'Cashflow'!C20)/'Cashflow'!C20</f>
        <v>-0.93651843279881</v>
      </c>
    </row>
    <row r="21" ht="20.05" customHeight="1">
      <c r="B21" s="31"/>
      <c r="C21" s="13">
        <v>19431</v>
      </c>
      <c r="D21" s="21"/>
      <c r="E21" s="14">
        <v>830</v>
      </c>
      <c r="F21" s="14"/>
      <c r="G21" s="18">
        <v>1300</v>
      </c>
      <c r="H21" s="16">
        <f>C21/C20-1</f>
        <v>0.0136679012989723</v>
      </c>
      <c r="I21" s="16">
        <f>(E21+G21-C21)/C21</f>
        <v>-0.89038134939015</v>
      </c>
      <c r="J21" s="16">
        <f>AVERAGE(I18:I21)</f>
        <v>-0.8866249495941551</v>
      </c>
      <c r="K21" s="16"/>
      <c r="L21" s="16">
        <f>('Cashflow'!D21-'Cashflow'!C21)/'Cashflow'!C21</f>
        <v>-0.7971753428848209</v>
      </c>
    </row>
    <row r="22" ht="20.05" customHeight="1">
      <c r="B22" s="31"/>
      <c r="C22" s="13">
        <v>19240</v>
      </c>
      <c r="D22" s="21"/>
      <c r="E22" s="14">
        <v>880</v>
      </c>
      <c r="F22" s="14"/>
      <c r="G22" s="18">
        <v>1260</v>
      </c>
      <c r="H22" s="16">
        <f>C22/C21-1</f>
        <v>-0.009829653646235399</v>
      </c>
      <c r="I22" s="16">
        <f>(E22+G22-C22)/C22</f>
        <v>-0.888773388773389</v>
      </c>
      <c r="J22" s="16">
        <f>AVERAGE(I19:I22)</f>
        <v>-0.884925553991344</v>
      </c>
      <c r="K22" s="16"/>
      <c r="L22" s="16">
        <f>('Cashflow'!D22-'Cashflow'!C22)/'Cashflow'!C22</f>
        <v>-0.877294638944344</v>
      </c>
    </row>
    <row r="23" ht="20.05" customHeight="1">
      <c r="B23" s="31"/>
      <c r="C23" s="13">
        <v>18752</v>
      </c>
      <c r="D23" s="21"/>
      <c r="E23" s="14">
        <v>800</v>
      </c>
      <c r="F23" s="14"/>
      <c r="G23" s="18">
        <v>1710</v>
      </c>
      <c r="H23" s="16">
        <f>C23/C22-1</f>
        <v>-0.0253638253638254</v>
      </c>
      <c r="I23" s="16">
        <f>(E23+G23-C23)/C23</f>
        <v>-0.8661476109215021</v>
      </c>
      <c r="J23" s="16">
        <f>AVERAGE(I20:I23)</f>
        <v>-0.8806771444729919</v>
      </c>
      <c r="K23" s="16"/>
      <c r="L23" s="16">
        <f>('Cashflow'!D23-'Cashflow'!C23)/'Cashflow'!C23</f>
        <v>-0.69223279965383</v>
      </c>
    </row>
    <row r="24" ht="20.05" customHeight="1">
      <c r="B24" s="32">
        <v>2020</v>
      </c>
      <c r="C24" s="13">
        <v>19300</v>
      </c>
      <c r="D24" s="21"/>
      <c r="E24" s="14">
        <v>840</v>
      </c>
      <c r="F24" s="14"/>
      <c r="G24" s="18">
        <v>1800</v>
      </c>
      <c r="H24" s="16">
        <f>C24/C23-1</f>
        <v>0.0292235494880546</v>
      </c>
      <c r="I24" s="16">
        <f>(E24+G24-C24)/C24</f>
        <v>-0.863212435233161</v>
      </c>
      <c r="J24" s="16">
        <f>AVERAGE(I21:I24)</f>
        <v>-0.877128696079551</v>
      </c>
      <c r="K24" s="16"/>
      <c r="L24" s="16">
        <f>('Cashflow'!D24-'Cashflow'!C24)/'Cashflow'!C24</f>
        <v>-0.935233996772458</v>
      </c>
    </row>
    <row r="25" ht="20.05" customHeight="1">
      <c r="B25" s="31"/>
      <c r="C25" s="13">
        <v>20100</v>
      </c>
      <c r="D25" s="18"/>
      <c r="E25" s="14">
        <v>910</v>
      </c>
      <c r="F25" s="14"/>
      <c r="G25" s="18">
        <v>1660</v>
      </c>
      <c r="H25" s="16">
        <f>C25/C24-1</f>
        <v>0.0414507772020725</v>
      </c>
      <c r="I25" s="16">
        <f>(E25+G25-C25)/C25</f>
        <v>-0.8721393034825869</v>
      </c>
      <c r="J25" s="16">
        <f>AVERAGE(I22:I25)</f>
        <v>-0.8725681846026599</v>
      </c>
      <c r="K25" s="16"/>
      <c r="L25" s="16">
        <f>('Cashflow'!D25-'Cashflow'!C25)/'Cashflow'!C25</f>
        <v>-0.770703125</v>
      </c>
    </row>
    <row r="26" ht="20.05" customHeight="1">
      <c r="B26" s="31"/>
      <c r="C26" s="13">
        <v>19370</v>
      </c>
      <c r="D26" s="18"/>
      <c r="E26" s="14">
        <v>950</v>
      </c>
      <c r="F26" s="14"/>
      <c r="G26" s="18">
        <v>1260</v>
      </c>
      <c r="H26" s="16">
        <f>C26/C25-1</f>
        <v>-0.036318407960199</v>
      </c>
      <c r="I26" s="16">
        <f>(E26+G26-C26)/C26</f>
        <v>-0.885906040268456</v>
      </c>
      <c r="J26" s="16">
        <f>AVERAGE(I23:I26)</f>
        <v>-0.871851347476427</v>
      </c>
      <c r="K26" s="16"/>
      <c r="L26" s="16">
        <f>('Cashflow'!D26-'Cashflow'!C26)/'Cashflow'!C26</f>
        <v>-0.8080823841472931</v>
      </c>
    </row>
    <row r="27" ht="20.05" customHeight="1">
      <c r="B27" s="31"/>
      <c r="C27" s="13">
        <v>22961</v>
      </c>
      <c r="D27" s="18">
        <v>21246.6</v>
      </c>
      <c r="E27" s="14">
        <v>950</v>
      </c>
      <c r="F27" s="14">
        <v>1165</v>
      </c>
      <c r="G27" s="18">
        <v>4030</v>
      </c>
      <c r="H27" s="16">
        <f>C27/C26-1</f>
        <v>0.185389778007228</v>
      </c>
      <c r="I27" s="16">
        <f>(E27+G27-F27-C27)/C27</f>
        <v>-0.8338486999695141</v>
      </c>
      <c r="J27" s="16">
        <f>AVERAGE(I24:I27)</f>
        <v>-0.86377661973843</v>
      </c>
      <c r="K27" s="16"/>
      <c r="L27" s="16">
        <f>('Cashflow'!D27-'Cashflow'!C27)/'Cashflow'!C27</f>
        <v>-0.820048156127234</v>
      </c>
    </row>
    <row r="28" ht="20.05" customHeight="1">
      <c r="B28" s="32">
        <v>2021</v>
      </c>
      <c r="C28" s="13">
        <v>24550</v>
      </c>
      <c r="D28" s="18">
        <v>23300</v>
      </c>
      <c r="E28" s="21">
        <v>890</v>
      </c>
      <c r="F28" s="21"/>
      <c r="G28" s="18">
        <v>2630</v>
      </c>
      <c r="H28" s="16">
        <f>C28/C27-1</f>
        <v>0.0692043029484779</v>
      </c>
      <c r="I28" s="16">
        <f>(E28+G28-F28-C28)/C28</f>
        <v>-0.856619144602851</v>
      </c>
      <c r="J28" s="16">
        <f>AVERAGE(I25:I28)</f>
        <v>-0.862128297080852</v>
      </c>
      <c r="K28" s="16"/>
      <c r="L28" s="16">
        <f>('Cashflow'!D28-'Cashflow'!C28)/'Cashflow'!C28</f>
        <v>-0.890829694323144</v>
      </c>
    </row>
    <row r="29" ht="20.05" customHeight="1">
      <c r="B29" s="31"/>
      <c r="C29" s="13">
        <f>47292.7-C28</f>
        <v>22742.7</v>
      </c>
      <c r="D29" s="14">
        <v>24550</v>
      </c>
      <c r="E29" s="21">
        <f>1878.2-E28</f>
        <v>988.2</v>
      </c>
      <c r="F29" s="21"/>
      <c r="G29" s="18">
        <f>5041.5-G28</f>
        <v>2411.5</v>
      </c>
      <c r="H29" s="16">
        <f>C29/C28-1</f>
        <v>-0.07361710794297351</v>
      </c>
      <c r="I29" s="16">
        <f>(E29+G29-F29-C29)/C29</f>
        <v>-0.850514670641569</v>
      </c>
      <c r="J29" s="16">
        <f>AVERAGE(I26:I29)</f>
        <v>-0.856722138870598</v>
      </c>
      <c r="K29" s="16"/>
      <c r="L29" s="16">
        <f>('Cashflow'!D29-'Cashflow'!C29)/'Cashflow'!C29</f>
        <v>-0.849701113780116</v>
      </c>
    </row>
    <row r="30" ht="20.05" customHeight="1">
      <c r="B30" s="31"/>
      <c r="C30" s="13">
        <f>72808.3-SUM(C28:C29)</f>
        <v>25515.6</v>
      </c>
      <c r="D30" s="14">
        <v>22515.273</v>
      </c>
      <c r="E30" s="21">
        <f>2858.6-SUM(E28:E29)</f>
        <v>980.4</v>
      </c>
      <c r="F30" s="21"/>
      <c r="G30" s="18">
        <f>8001.4-SUM(G28:G29)</f>
        <v>2959.9</v>
      </c>
      <c r="H30" s="16">
        <f>C30/C29-1</f>
        <v>0.121924837420359</v>
      </c>
      <c r="I30" s="16">
        <f>(E30+G30-F30-C30)/C30</f>
        <v>-0.845572904419257</v>
      </c>
      <c r="J30" s="16">
        <f>AVERAGE(I27:I30)</f>
        <v>-0.846638854908298</v>
      </c>
      <c r="K30" s="16"/>
      <c r="L30" s="16">
        <f>('Cashflow'!D30-'Cashflow'!C30)/'Cashflow'!C30</f>
        <v>-0.897634458008857</v>
      </c>
    </row>
    <row r="31" ht="20.05" customHeight="1">
      <c r="B31" s="31"/>
      <c r="C31" s="13">
        <f>99345.6-SUM(C28:C30)</f>
        <v>26537.3</v>
      </c>
      <c r="D31" s="14">
        <v>26791.38</v>
      </c>
      <c r="E31" s="18">
        <f>3870.8-SUM(E28:E30)</f>
        <v>1012.2</v>
      </c>
      <c r="F31" s="21"/>
      <c r="G31" s="18">
        <f>11203.6-SUM(G28:G30)</f>
        <v>3202.2</v>
      </c>
      <c r="H31" s="16">
        <f>C31/C30-1</f>
        <v>0.0400421702801423</v>
      </c>
      <c r="I31" s="16">
        <f>(E31+G31-F31-C31)/C31</f>
        <v>-0.841189570905857</v>
      </c>
      <c r="J31" s="16">
        <f>AVERAGE(I28:I31)</f>
        <v>-0.8484740726423839</v>
      </c>
      <c r="K31" s="16">
        <f>J31</f>
        <v>-0.8484740726423839</v>
      </c>
      <c r="L31" s="16">
        <f>('Cashflow'!D31-'Cashflow'!C31)/'Cashflow'!C31</f>
        <v>-0.772875131164743</v>
      </c>
    </row>
    <row r="32" ht="20.05" customHeight="1">
      <c r="B32" s="32">
        <v>2022</v>
      </c>
      <c r="C32" s="13"/>
      <c r="D32" s="14">
        <f>'Model'!C6</f>
        <v>26271.927</v>
      </c>
      <c r="E32" s="21"/>
      <c r="F32" s="21"/>
      <c r="G32" s="18"/>
      <c r="H32" s="12"/>
      <c r="I32" s="22"/>
      <c r="J32" s="22"/>
      <c r="K32" s="12">
        <f>'Model'!C7</f>
        <v>-0.841189570905857</v>
      </c>
      <c r="L32" s="16"/>
    </row>
    <row r="33" ht="20.05" customHeight="1">
      <c r="B33" s="31"/>
      <c r="C33" s="13"/>
      <c r="D33" s="18">
        <f>'Model'!D6</f>
        <v>26797.36554</v>
      </c>
      <c r="E33" s="21"/>
      <c r="F33" s="21"/>
      <c r="G33" s="18"/>
      <c r="H33" s="12"/>
      <c r="I33" s="12"/>
      <c r="J33" s="12"/>
      <c r="K33" s="12"/>
      <c r="L33" s="12"/>
    </row>
    <row r="34" ht="20.05" customHeight="1">
      <c r="B34" s="31"/>
      <c r="C34" s="13"/>
      <c r="D34" s="18">
        <f>'Model'!E6</f>
        <v>27601.2865062</v>
      </c>
      <c r="E34" s="21"/>
      <c r="F34" s="21"/>
      <c r="G34" s="18"/>
      <c r="H34" s="12"/>
      <c r="I34" s="12"/>
      <c r="J34" s="12"/>
      <c r="K34" s="12"/>
      <c r="L34" s="12"/>
    </row>
    <row r="35" ht="20.05" customHeight="1">
      <c r="B35" s="31"/>
      <c r="C35" s="13"/>
      <c r="D35" s="18">
        <f>'Model'!F6</f>
        <v>28429.325101386</v>
      </c>
      <c r="E35" s="21"/>
      <c r="F35" s="21"/>
      <c r="G35" s="18"/>
      <c r="H35" s="12"/>
      <c r="I35" s="12"/>
      <c r="J35" s="12"/>
      <c r="K35" s="12"/>
      <c r="L35" s="12"/>
    </row>
  </sheetData>
  <mergeCells count="1">
    <mergeCell ref="B2:L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O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64844" style="33" customWidth="1"/>
    <col min="2" max="2" width="7.60938" style="33" customWidth="1"/>
    <col min="3" max="15" width="10.5156" style="33" customWidth="1"/>
    <col min="16" max="16384" width="16.3516" style="33" customWidth="1"/>
  </cols>
  <sheetData>
    <row r="1" ht="36.4" customHeight="1"/>
    <row r="2" ht="27.65" customHeight="1">
      <c r="B2" t="s" s="2">
        <v>34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2.25" customHeight="1">
      <c r="B3" t="s" s="5">
        <v>1</v>
      </c>
      <c r="C3" t="s" s="5">
        <v>48</v>
      </c>
      <c r="D3" t="s" s="5">
        <v>49</v>
      </c>
      <c r="E3" t="s" s="5">
        <v>50</v>
      </c>
      <c r="F3" t="s" s="5">
        <v>10</v>
      </c>
      <c r="G3" t="s" s="5">
        <v>12</v>
      </c>
      <c r="H3" t="s" s="5">
        <v>26</v>
      </c>
      <c r="I3" t="s" s="5">
        <v>11</v>
      </c>
      <c r="J3" t="s" s="5">
        <v>51</v>
      </c>
      <c r="K3" t="s" s="5">
        <v>34</v>
      </c>
      <c r="L3" t="s" s="5">
        <v>36</v>
      </c>
      <c r="M3" t="s" s="5">
        <v>30</v>
      </c>
      <c r="N3" t="s" s="5">
        <v>36</v>
      </c>
      <c r="O3" s="34"/>
    </row>
    <row r="4" ht="20.25" customHeight="1">
      <c r="B4" s="25">
        <v>2015</v>
      </c>
      <c r="C4" s="35">
        <v>14545</v>
      </c>
      <c r="D4" s="29">
        <v>276</v>
      </c>
      <c r="E4" s="29">
        <v>-1540</v>
      </c>
      <c r="F4" s="29">
        <v>0</v>
      </c>
      <c r="G4" s="29"/>
      <c r="H4" s="29"/>
      <c r="I4" s="29">
        <v>-162</v>
      </c>
      <c r="J4" s="29">
        <f>D4+E4-F4</f>
        <v>-1264</v>
      </c>
      <c r="K4" s="29"/>
      <c r="L4" s="29"/>
      <c r="M4" s="29">
        <f>-(I4-F4)</f>
        <v>162</v>
      </c>
      <c r="N4" s="29"/>
      <c r="O4" s="29">
        <v>1</v>
      </c>
    </row>
    <row r="5" ht="20.05" customHeight="1">
      <c r="B5" s="31"/>
      <c r="C5" s="17">
        <v>16547</v>
      </c>
      <c r="D5" s="18">
        <v>3019</v>
      </c>
      <c r="E5" s="18">
        <v>-2598</v>
      </c>
      <c r="F5" s="18">
        <v>0</v>
      </c>
      <c r="G5" s="18"/>
      <c r="H5" s="18"/>
      <c r="I5" s="18">
        <v>-1107</v>
      </c>
      <c r="J5" s="18">
        <f>D5+E5-F5</f>
        <v>421</v>
      </c>
      <c r="K5" s="18"/>
      <c r="L5" s="18"/>
      <c r="M5" s="18">
        <f>-(I5-F5)+M4</f>
        <v>1269</v>
      </c>
      <c r="N5" s="18"/>
      <c r="O5" s="18">
        <f>1+O4</f>
        <v>2</v>
      </c>
    </row>
    <row r="6" ht="20.05" customHeight="1">
      <c r="B6" s="31"/>
      <c r="C6" s="17">
        <v>15100</v>
      </c>
      <c r="D6" s="18">
        <v>-377</v>
      </c>
      <c r="E6" s="18">
        <v>-930</v>
      </c>
      <c r="F6" s="18">
        <v>0</v>
      </c>
      <c r="G6" s="18"/>
      <c r="H6" s="18"/>
      <c r="I6" s="18">
        <v>57</v>
      </c>
      <c r="J6" s="18">
        <f>D6+E6-F6</f>
        <v>-1307</v>
      </c>
      <c r="K6" s="18"/>
      <c r="L6" s="18"/>
      <c r="M6" s="18">
        <f>-(I6-F6)+M5</f>
        <v>1212</v>
      </c>
      <c r="N6" s="18"/>
      <c r="O6" s="18">
        <f>1+O5</f>
        <v>3</v>
      </c>
    </row>
    <row r="7" ht="20.05" customHeight="1">
      <c r="B7" s="31"/>
      <c r="C7" s="17">
        <v>17265</v>
      </c>
      <c r="D7" s="18">
        <v>1295</v>
      </c>
      <c r="E7" s="18">
        <v>-597</v>
      </c>
      <c r="F7" s="18">
        <v>0</v>
      </c>
      <c r="G7" s="18"/>
      <c r="H7" s="18"/>
      <c r="I7" s="18">
        <v>1072</v>
      </c>
      <c r="J7" s="18">
        <f>D7+E7-F7</f>
        <v>698</v>
      </c>
      <c r="K7" s="18"/>
      <c r="L7" s="18"/>
      <c r="M7" s="18">
        <f>-(I7-F7)+M6</f>
        <v>140</v>
      </c>
      <c r="N7" s="18"/>
      <c r="O7" s="18">
        <f>1+O6</f>
        <v>4</v>
      </c>
    </row>
    <row r="8" ht="20.05" customHeight="1">
      <c r="B8" s="32">
        <v>2016</v>
      </c>
      <c r="C8" s="17">
        <v>16183</v>
      </c>
      <c r="D8" s="18">
        <v>430</v>
      </c>
      <c r="E8" s="18">
        <v>-1488</v>
      </c>
      <c r="F8" s="18">
        <v>0</v>
      </c>
      <c r="G8" s="18"/>
      <c r="H8" s="18"/>
      <c r="I8" s="18">
        <v>1131</v>
      </c>
      <c r="J8" s="18">
        <f>D8+E8-F8</f>
        <v>-1058</v>
      </c>
      <c r="K8" s="18">
        <f>AVERAGE(J5:J8)</f>
        <v>-311.5</v>
      </c>
      <c r="L8" s="18"/>
      <c r="M8" s="18">
        <f>-(I8-F8)+M7</f>
        <v>-991</v>
      </c>
      <c r="N8" s="18"/>
      <c r="O8" s="18">
        <f>1+O7</f>
        <v>5</v>
      </c>
    </row>
    <row r="9" ht="20.05" customHeight="1">
      <c r="B9" s="31"/>
      <c r="C9" s="17">
        <v>16374</v>
      </c>
      <c r="D9" s="18">
        <v>1204</v>
      </c>
      <c r="E9" s="18">
        <v>-1966</v>
      </c>
      <c r="F9" s="18">
        <v>0</v>
      </c>
      <c r="G9" s="18"/>
      <c r="H9" s="18"/>
      <c r="I9" s="18">
        <v>-492</v>
      </c>
      <c r="J9" s="18">
        <f>D9+E9-F9</f>
        <v>-762</v>
      </c>
      <c r="K9" s="18">
        <f>AVERAGE(J6:J9)</f>
        <v>-607.25</v>
      </c>
      <c r="L9" s="18"/>
      <c r="M9" s="18">
        <f>-(I9-F9)+M8</f>
        <v>-499</v>
      </c>
      <c r="N9" s="18"/>
      <c r="O9" s="18">
        <f>1+O8</f>
        <v>6</v>
      </c>
    </row>
    <row r="10" ht="20.05" customHeight="1">
      <c r="B10" s="31"/>
      <c r="C10" s="17">
        <v>15373</v>
      </c>
      <c r="D10" s="18">
        <v>189</v>
      </c>
      <c r="E10" s="18">
        <v>108</v>
      </c>
      <c r="F10" s="18">
        <v>0</v>
      </c>
      <c r="G10" s="18"/>
      <c r="H10" s="18"/>
      <c r="I10" s="18">
        <v>-337</v>
      </c>
      <c r="J10" s="18">
        <f>D10+E10-F10</f>
        <v>297</v>
      </c>
      <c r="K10" s="18">
        <f>AVERAGE(J7:J10)</f>
        <v>-206.25</v>
      </c>
      <c r="L10" s="18"/>
      <c r="M10" s="18">
        <f>-(I10-F10)+M9</f>
        <v>-162</v>
      </c>
      <c r="N10" s="18"/>
      <c r="O10" s="18">
        <f>1+O9</f>
        <v>7</v>
      </c>
    </row>
    <row r="11" ht="20.05" customHeight="1">
      <c r="B11" s="31"/>
      <c r="C11" s="17">
        <v>18523</v>
      </c>
      <c r="D11" s="18">
        <v>5352</v>
      </c>
      <c r="E11" s="18">
        <v>2498</v>
      </c>
      <c r="F11" s="18">
        <v>0</v>
      </c>
      <c r="G11" s="18"/>
      <c r="H11" s="18"/>
      <c r="I11" s="18">
        <v>-6109</v>
      </c>
      <c r="J11" s="18">
        <f>D11+E11-F11</f>
        <v>7850</v>
      </c>
      <c r="K11" s="18">
        <f>AVERAGE(J8:J11)</f>
        <v>1581.75</v>
      </c>
      <c r="L11" s="18"/>
      <c r="M11" s="18">
        <f>-(I11-F11)+M10</f>
        <v>5947</v>
      </c>
      <c r="N11" s="18"/>
      <c r="O11" s="18">
        <f>1+O10</f>
        <v>8</v>
      </c>
    </row>
    <row r="12" ht="20.05" customHeight="1">
      <c r="B12" s="32">
        <v>2017</v>
      </c>
      <c r="C12" s="17">
        <v>17212</v>
      </c>
      <c r="D12" s="18">
        <v>268</v>
      </c>
      <c r="E12" s="18">
        <v>-1484</v>
      </c>
      <c r="F12" s="18">
        <v>0</v>
      </c>
      <c r="G12" s="18"/>
      <c r="H12" s="18"/>
      <c r="I12" s="18">
        <v>1190</v>
      </c>
      <c r="J12" s="18">
        <f>D12+E12-F12</f>
        <v>-1216</v>
      </c>
      <c r="K12" s="18">
        <f>AVERAGE(J9:J12)</f>
        <v>1542.25</v>
      </c>
      <c r="L12" s="18"/>
      <c r="M12" s="18">
        <f>-(I12-F12)+M11</f>
        <v>4757</v>
      </c>
      <c r="N12" s="18"/>
      <c r="O12" s="18">
        <f>1+O11</f>
        <v>9</v>
      </c>
    </row>
    <row r="13" ht="20.05" customHeight="1">
      <c r="B13" s="31"/>
      <c r="C13" s="17">
        <v>17173</v>
      </c>
      <c r="D13" s="18">
        <v>2876</v>
      </c>
      <c r="E13" s="18">
        <v>-1848</v>
      </c>
      <c r="F13" s="18">
        <v>0</v>
      </c>
      <c r="G13" s="18"/>
      <c r="H13" s="18"/>
      <c r="I13" s="18">
        <v>2017</v>
      </c>
      <c r="J13" s="18">
        <f>D13+E13-F13</f>
        <v>1028</v>
      </c>
      <c r="K13" s="18">
        <f>AVERAGE(J10:J13)</f>
        <v>1989.75</v>
      </c>
      <c r="L13" s="18"/>
      <c r="M13" s="18">
        <f>-(I13-F13)+M12</f>
        <v>2740</v>
      </c>
      <c r="N13" s="18"/>
      <c r="O13" s="18">
        <f>1+O12</f>
        <v>10</v>
      </c>
    </row>
    <row r="14" ht="20.05" customHeight="1">
      <c r="B14" s="31"/>
      <c r="C14" s="17">
        <v>17944</v>
      </c>
      <c r="D14" s="18">
        <v>556</v>
      </c>
      <c r="E14" s="18">
        <v>-1848</v>
      </c>
      <c r="F14" s="18">
        <v>0</v>
      </c>
      <c r="G14" s="18"/>
      <c r="H14" s="18"/>
      <c r="I14" s="18">
        <v>-2093</v>
      </c>
      <c r="J14" s="18">
        <f>D14+E14-F14</f>
        <v>-1292</v>
      </c>
      <c r="K14" s="18">
        <f>AVERAGE(J11:J14)</f>
        <v>1592.5</v>
      </c>
      <c r="L14" s="18"/>
      <c r="M14" s="18">
        <f>-(I14-F14)+M13</f>
        <v>4833</v>
      </c>
      <c r="N14" s="18"/>
      <c r="O14" s="18">
        <f>1+O13</f>
        <v>11</v>
      </c>
    </row>
    <row r="15" ht="20.05" customHeight="1">
      <c r="B15" s="31"/>
      <c r="C15" s="17">
        <v>17597</v>
      </c>
      <c r="D15" s="18">
        <v>2807</v>
      </c>
      <c r="E15" s="18">
        <v>-877</v>
      </c>
      <c r="F15" s="18">
        <v>0</v>
      </c>
      <c r="G15" s="18"/>
      <c r="H15" s="18"/>
      <c r="I15" s="18">
        <v>-1270</v>
      </c>
      <c r="J15" s="18">
        <f>D15+E15-F15</f>
        <v>1930</v>
      </c>
      <c r="K15" s="18">
        <f>AVERAGE(J12:J15)</f>
        <v>112.5</v>
      </c>
      <c r="L15" s="18"/>
      <c r="M15" s="18">
        <f>-(I15-F15)+M14</f>
        <v>6103</v>
      </c>
      <c r="N15" s="18"/>
      <c r="O15" s="18">
        <f>1+O14</f>
        <v>12</v>
      </c>
    </row>
    <row r="16" ht="20.05" customHeight="1">
      <c r="B16" s="32">
        <v>2018</v>
      </c>
      <c r="C16" s="17">
        <v>16879</v>
      </c>
      <c r="D16" s="18">
        <v>1143</v>
      </c>
      <c r="E16" s="18">
        <v>-1228</v>
      </c>
      <c r="F16" s="18">
        <v>0</v>
      </c>
      <c r="G16" s="18"/>
      <c r="H16" s="18"/>
      <c r="I16" s="18">
        <v>595</v>
      </c>
      <c r="J16" s="18">
        <f>D16+E16-F16</f>
        <v>-85</v>
      </c>
      <c r="K16" s="18">
        <f>AVERAGE(J13:J16)</f>
        <v>395.25</v>
      </c>
      <c r="L16" s="18"/>
      <c r="M16" s="18">
        <f>-(I16-F16)+M15</f>
        <v>5508</v>
      </c>
      <c r="N16" s="18"/>
      <c r="O16" s="18">
        <f>1+O15</f>
        <v>13</v>
      </c>
    </row>
    <row r="17" ht="20.05" customHeight="1">
      <c r="B17" s="31"/>
      <c r="C17" s="17">
        <v>18115</v>
      </c>
      <c r="D17" s="18">
        <v>2732</v>
      </c>
      <c r="E17" s="18">
        <v>-1562</v>
      </c>
      <c r="F17" s="18">
        <v>0</v>
      </c>
      <c r="G17" s="18"/>
      <c r="H17" s="18"/>
      <c r="I17" s="18">
        <v>-1521</v>
      </c>
      <c r="J17" s="18">
        <f>D17+E17-F17</f>
        <v>1170</v>
      </c>
      <c r="K17" s="18">
        <f>AVERAGE(J14:J17)</f>
        <v>430.75</v>
      </c>
      <c r="L17" s="18"/>
      <c r="M17" s="18">
        <f>-(I17-F17)+M16</f>
        <v>7029</v>
      </c>
      <c r="N17" s="18"/>
      <c r="O17" s="18">
        <f>1+O16</f>
        <v>14</v>
      </c>
    </row>
    <row r="18" ht="20.05" customHeight="1">
      <c r="B18" s="31"/>
      <c r="C18" s="17">
        <v>19079</v>
      </c>
      <c r="D18" s="18">
        <v>-237</v>
      </c>
      <c r="E18" s="18">
        <v>-2741</v>
      </c>
      <c r="F18" s="18">
        <v>0</v>
      </c>
      <c r="G18" s="18"/>
      <c r="H18" s="18"/>
      <c r="I18" s="18">
        <v>1293</v>
      </c>
      <c r="J18" s="18">
        <f>D18+E18-F18</f>
        <v>-2978</v>
      </c>
      <c r="K18" s="18">
        <f>AVERAGE(J15:J18)</f>
        <v>9.25</v>
      </c>
      <c r="L18" s="18"/>
      <c r="M18" s="18">
        <f>-(I18-F18)+M17</f>
        <v>5736</v>
      </c>
      <c r="N18" s="18"/>
      <c r="O18" s="18">
        <f>1+O17</f>
        <v>15</v>
      </c>
    </row>
    <row r="19" ht="20.05" customHeight="1">
      <c r="B19" s="31"/>
      <c r="C19" s="17">
        <v>19418</v>
      </c>
      <c r="D19" s="18">
        <v>2297</v>
      </c>
      <c r="E19" s="18">
        <v>-5692</v>
      </c>
      <c r="F19" s="18">
        <v>0</v>
      </c>
      <c r="G19" s="18"/>
      <c r="H19" s="18"/>
      <c r="I19" s="18">
        <v>-319</v>
      </c>
      <c r="J19" s="18">
        <f>D19+E19-F19</f>
        <v>-3395</v>
      </c>
      <c r="K19" s="18">
        <f>AVERAGE(J16:J19)</f>
        <v>-1322</v>
      </c>
      <c r="L19" s="18"/>
      <c r="M19" s="18">
        <f>-(I19-F19)+M18</f>
        <v>6055</v>
      </c>
      <c r="N19" s="18"/>
      <c r="O19" s="18">
        <f>1+O18</f>
        <v>16</v>
      </c>
    </row>
    <row r="20" ht="20.05" customHeight="1">
      <c r="B20" s="32">
        <v>2019</v>
      </c>
      <c r="C20" s="17">
        <v>18147</v>
      </c>
      <c r="D20" s="18">
        <v>1152</v>
      </c>
      <c r="E20" s="18">
        <v>-450</v>
      </c>
      <c r="F20" s="18">
        <v>0</v>
      </c>
      <c r="G20" s="18"/>
      <c r="H20" s="18"/>
      <c r="I20" s="18">
        <v>-500</v>
      </c>
      <c r="J20" s="18">
        <f>E20+D20+F20</f>
        <v>702</v>
      </c>
      <c r="K20" s="18">
        <f>AVERAGE(J17:J20)</f>
        <v>-1125.25</v>
      </c>
      <c r="L20" s="18"/>
      <c r="M20" s="18">
        <f>-(I20-F20)+M19</f>
        <v>6555</v>
      </c>
      <c r="N20" s="18"/>
      <c r="O20" s="18">
        <f>1+O19</f>
        <v>17</v>
      </c>
    </row>
    <row r="21" ht="20.05" customHeight="1">
      <c r="B21" s="31"/>
      <c r="C21" s="17">
        <v>19613</v>
      </c>
      <c r="D21" s="18">
        <v>3978</v>
      </c>
      <c r="E21" s="18">
        <v>-439</v>
      </c>
      <c r="F21" s="18">
        <v>0</v>
      </c>
      <c r="G21" s="18"/>
      <c r="H21" s="18"/>
      <c r="I21" s="18">
        <v>-2880</v>
      </c>
      <c r="J21" s="18">
        <f>E21+D21+F21</f>
        <v>3539</v>
      </c>
      <c r="K21" s="18">
        <f>AVERAGE(J18:J21)</f>
        <v>-533</v>
      </c>
      <c r="L21" s="18"/>
      <c r="M21" s="18">
        <f>-(I21-F21)+M20</f>
        <v>9435</v>
      </c>
      <c r="N21" s="18"/>
      <c r="O21" s="18">
        <f>1+O20</f>
        <v>18</v>
      </c>
    </row>
    <row r="22" ht="20.05" customHeight="1">
      <c r="B22" s="31"/>
      <c r="C22" s="17">
        <v>20537</v>
      </c>
      <c r="D22" s="18">
        <v>2520</v>
      </c>
      <c r="E22" s="18">
        <v>-2691</v>
      </c>
      <c r="F22" s="18">
        <v>0</v>
      </c>
      <c r="G22" s="18"/>
      <c r="H22" s="18"/>
      <c r="I22" s="18">
        <v>20</v>
      </c>
      <c r="J22" s="18">
        <f>E22+D22+F22</f>
        <v>-171</v>
      </c>
      <c r="K22" s="18">
        <f>AVERAGE(J19:J22)</f>
        <v>168.75</v>
      </c>
      <c r="L22" s="18"/>
      <c r="M22" s="18">
        <f>-(I22-F22)+M21</f>
        <v>9415</v>
      </c>
      <c r="N22" s="18"/>
      <c r="O22" s="18">
        <f>1+O21</f>
        <v>19</v>
      </c>
    </row>
    <row r="23" ht="20.05" customHeight="1">
      <c r="B23" s="31"/>
      <c r="C23" s="17">
        <v>18488</v>
      </c>
      <c r="D23" s="18">
        <v>5690</v>
      </c>
      <c r="E23" s="18">
        <v>3000</v>
      </c>
      <c r="F23" s="18">
        <v>0</v>
      </c>
      <c r="G23" s="18"/>
      <c r="H23" s="18"/>
      <c r="I23" s="18">
        <v>-4300</v>
      </c>
      <c r="J23" s="18">
        <f>E23+D23+F23</f>
        <v>8690</v>
      </c>
      <c r="K23" s="18">
        <f>AVERAGE(J20:J23)</f>
        <v>3190</v>
      </c>
      <c r="L23" s="18"/>
      <c r="M23" s="18">
        <f>-(I23-F23)+M22</f>
        <v>13715</v>
      </c>
      <c r="N23" s="18"/>
      <c r="O23" s="18">
        <f>1+O22</f>
        <v>20</v>
      </c>
    </row>
    <row r="24" ht="20.05" customHeight="1">
      <c r="B24" s="32">
        <v>2020</v>
      </c>
      <c r="C24" s="17">
        <v>18590</v>
      </c>
      <c r="D24" s="18">
        <v>1204</v>
      </c>
      <c r="E24" s="18">
        <v>-3258</v>
      </c>
      <c r="F24" s="18">
        <v>-60</v>
      </c>
      <c r="G24" s="18">
        <f>I24-H24-F24</f>
        <v>3300</v>
      </c>
      <c r="H24" s="18">
        <v>0</v>
      </c>
      <c r="I24" s="18">
        <v>3240</v>
      </c>
      <c r="J24" s="18">
        <f>E24+D24+F24</f>
        <v>-2114</v>
      </c>
      <c r="K24" s="18">
        <f>AVERAGE(J21:J24)</f>
        <v>2486</v>
      </c>
      <c r="L24" s="18"/>
      <c r="M24" s="18">
        <f>-(I24-F24)+M23</f>
        <v>10415</v>
      </c>
      <c r="N24" s="18"/>
      <c r="O24" s="18">
        <f>1+O23</f>
        <v>21</v>
      </c>
    </row>
    <row r="25" ht="20.05" customHeight="1">
      <c r="B25" s="31"/>
      <c r="C25" s="17">
        <v>20480</v>
      </c>
      <c r="D25" s="18">
        <v>4696</v>
      </c>
      <c r="E25" s="18">
        <v>-3942</v>
      </c>
      <c r="F25" s="18">
        <v>-90</v>
      </c>
      <c r="G25" s="18">
        <f>I25-H25-F25</f>
        <v>50</v>
      </c>
      <c r="H25" s="18">
        <f>0</f>
        <v>0</v>
      </c>
      <c r="I25" s="18">
        <v>-40</v>
      </c>
      <c r="J25" s="18">
        <f>E25+D25+F25</f>
        <v>664</v>
      </c>
      <c r="K25" s="18">
        <f>AVERAGE(J22:J25)</f>
        <v>1767.25</v>
      </c>
      <c r="L25" s="18"/>
      <c r="M25" s="18">
        <f>-(I25-F25)+M24</f>
        <v>10365</v>
      </c>
      <c r="N25" s="18"/>
      <c r="O25" s="18">
        <f>1+O24</f>
        <v>22</v>
      </c>
    </row>
    <row r="26" ht="20.05" customHeight="1">
      <c r="B26" s="31"/>
      <c r="C26" s="17">
        <v>19227</v>
      </c>
      <c r="D26" s="18">
        <v>3690</v>
      </c>
      <c r="E26" s="18">
        <v>-29470</v>
      </c>
      <c r="F26" s="18">
        <v>-90</v>
      </c>
      <c r="G26" s="18">
        <f>I26-H26-F26</f>
        <v>27788.2</v>
      </c>
      <c r="H26" s="18">
        <f>-2441-737.2-SUM(H24:H25)</f>
        <v>-3178.2</v>
      </c>
      <c r="I26" s="18">
        <v>24520</v>
      </c>
      <c r="J26" s="18">
        <f>E26+D26+F26</f>
        <v>-25870</v>
      </c>
      <c r="K26" s="18">
        <f>AVERAGE(J23:J26)</f>
        <v>-4657.5</v>
      </c>
      <c r="L26" s="18"/>
      <c r="M26" s="18">
        <f>-(I26-F26)+M25</f>
        <v>-14245</v>
      </c>
      <c r="N26" s="18"/>
      <c r="O26" s="18">
        <f>1+O25</f>
        <v>23</v>
      </c>
    </row>
    <row r="27" ht="20.05" customHeight="1">
      <c r="B27" s="31"/>
      <c r="C27" s="17">
        <v>23673</v>
      </c>
      <c r="D27" s="18">
        <v>4260</v>
      </c>
      <c r="E27" s="18">
        <v>-970</v>
      </c>
      <c r="F27" s="18">
        <v>-100</v>
      </c>
      <c r="G27" s="18">
        <f>I27-H27-F27</f>
        <v>60.6</v>
      </c>
      <c r="H27" s="18">
        <f>-1137.8-2441-SUM(H24:H26)</f>
        <v>-400.6</v>
      </c>
      <c r="I27" s="18">
        <v>-440</v>
      </c>
      <c r="J27" s="18">
        <f>E27+D27+F27</f>
        <v>3190</v>
      </c>
      <c r="K27" s="18">
        <f>AVERAGE(J24:J27)</f>
        <v>-6032.5</v>
      </c>
      <c r="L27" s="18"/>
      <c r="M27" s="18">
        <f>-(I27-F27)+M26</f>
        <v>-13905</v>
      </c>
      <c r="N27" s="18"/>
      <c r="O27" s="18">
        <f>1+O26</f>
        <v>24</v>
      </c>
    </row>
    <row r="28" ht="20.05" customHeight="1">
      <c r="B28" s="32">
        <v>2021</v>
      </c>
      <c r="C28" s="17">
        <v>22900</v>
      </c>
      <c r="D28" s="18">
        <v>2500</v>
      </c>
      <c r="E28" s="18">
        <v>-2800</v>
      </c>
      <c r="F28" s="18">
        <v>-60</v>
      </c>
      <c r="G28" s="18">
        <f>222.545-F28-H28</f>
        <v>481.704</v>
      </c>
      <c r="H28" s="18">
        <v>-199.159</v>
      </c>
      <c r="I28" s="18">
        <v>222.545</v>
      </c>
      <c r="J28" s="18">
        <f>E28+D28+F28</f>
        <v>-360</v>
      </c>
      <c r="K28" s="18">
        <f>AVERAGE(J25:J28)</f>
        <v>-5594</v>
      </c>
      <c r="L28" s="18"/>
      <c r="M28" s="18">
        <f>-(I28-F28)+M27</f>
        <v>-14187.545</v>
      </c>
      <c r="N28" s="18"/>
      <c r="O28" s="18">
        <f>1+O27</f>
        <v>25</v>
      </c>
    </row>
    <row r="29" ht="20.05" customHeight="1">
      <c r="B29" s="31"/>
      <c r="C29" s="17">
        <f>46504.3-C28</f>
        <v>23604.3</v>
      </c>
      <c r="D29" s="18">
        <f>6047.7-D28</f>
        <v>3547.7</v>
      </c>
      <c r="E29" s="18">
        <f>-4641.6-E28</f>
        <v>-1841.6</v>
      </c>
      <c r="F29" s="18">
        <f>-138.8-F28</f>
        <v>-78.8</v>
      </c>
      <c r="G29" s="18">
        <f>-599.1-F29-F28-G28-H29-H28</f>
        <v>-479.445</v>
      </c>
      <c r="H29" s="18">
        <f>-462.559-H28</f>
        <v>-263.4</v>
      </c>
      <c r="I29" s="18">
        <f>-599.1-I28</f>
        <v>-821.645</v>
      </c>
      <c r="J29" s="18">
        <f>E29+D29+F29</f>
        <v>1627.3</v>
      </c>
      <c r="K29" s="18">
        <f>AVERAGE(J26:J29)</f>
        <v>-5353.175</v>
      </c>
      <c r="L29" s="18"/>
      <c r="M29" s="18">
        <f>-(I29-F29)+M28</f>
        <v>-13444.7</v>
      </c>
      <c r="N29" s="18"/>
      <c r="O29" s="18">
        <f>1+O28</f>
        <v>26</v>
      </c>
    </row>
    <row r="30" ht="20.05" customHeight="1">
      <c r="B30" s="31"/>
      <c r="C30" s="17">
        <f>71750.1-SUM(C28:C29)</f>
        <v>25245.8</v>
      </c>
      <c r="D30" s="18">
        <f>8632-SUM(D28:D29)</f>
        <v>2584.3</v>
      </c>
      <c r="E30" s="18">
        <f>-6602.1-SUM(E28:E29)</f>
        <v>-1960.5</v>
      </c>
      <c r="F30" s="18">
        <f>-208.6-SUM(F28:F29)</f>
        <v>-69.8</v>
      </c>
      <c r="G30" s="18">
        <f>-1631.446-F30-F29-F28-G29-G28-H30-H29-H28</f>
        <v>2760.299</v>
      </c>
      <c r="H30" s="18">
        <f>-1281.886-2440.959</f>
        <v>-3722.845</v>
      </c>
      <c r="I30" s="18">
        <f>-1631.4-SUM(I28:I29)</f>
        <v>-1032.3</v>
      </c>
      <c r="J30" s="18">
        <f>E30+D30+F30</f>
        <v>554</v>
      </c>
      <c r="K30" s="18">
        <f>AVERAGE(J27:J30)</f>
        <v>1252.825</v>
      </c>
      <c r="L30" s="18"/>
      <c r="M30" s="18">
        <f>-(I30-F30)+M29</f>
        <v>-12482.2</v>
      </c>
      <c r="N30" s="18"/>
      <c r="O30" s="18">
        <f>1+O29</f>
        <v>27</v>
      </c>
    </row>
    <row r="31" ht="20.05" customHeight="1">
      <c r="B31" s="31"/>
      <c r="C31" s="17">
        <f>98434.1-SUM(C28:C30)</f>
        <v>26684</v>
      </c>
      <c r="D31" s="18">
        <f>14692.6-SUM(D28:D30)</f>
        <v>6060.6</v>
      </c>
      <c r="E31" s="18">
        <f>-6489.7-SUM(E28:E30)</f>
        <v>112.4</v>
      </c>
      <c r="F31" s="18">
        <f>-341.8-SUM(F28:F30)</f>
        <v>-133.2</v>
      </c>
      <c r="G31" s="18">
        <f>I31-H31-F31</f>
        <v>5558.296</v>
      </c>
      <c r="H31" s="18">
        <f>-1685.7-2441-SUM(H28:H30)</f>
        <v>58.704</v>
      </c>
      <c r="I31" s="18">
        <f>3852.4-SUM(I28:I30)</f>
        <v>5483.8</v>
      </c>
      <c r="J31" s="18">
        <f>E31+D31+F31</f>
        <v>6039.8</v>
      </c>
      <c r="K31" s="18">
        <f>AVERAGE(J28:J31)</f>
        <v>1965.275</v>
      </c>
      <c r="L31" s="18">
        <f>K31</f>
        <v>1965.275</v>
      </c>
      <c r="M31" s="18">
        <f>-(I31-F31)+M30</f>
        <v>-18099.2</v>
      </c>
      <c r="N31" s="18">
        <f>M31</f>
        <v>-18099.2</v>
      </c>
      <c r="O31" s="18">
        <f>1+O30</f>
        <v>28</v>
      </c>
    </row>
    <row r="32" ht="20.05" customHeight="1">
      <c r="B32" s="32">
        <v>2022</v>
      </c>
      <c r="C32" s="17"/>
      <c r="D32" s="18"/>
      <c r="E32" s="18"/>
      <c r="F32" s="18"/>
      <c r="G32" s="18"/>
      <c r="H32" s="18"/>
      <c r="I32" s="18"/>
      <c r="J32" s="22"/>
      <c r="K32" s="22"/>
      <c r="L32" s="18">
        <f>SUM('Model'!F9:F11)</f>
        <v>3505.373318208</v>
      </c>
      <c r="M32" s="22"/>
      <c r="N32" s="18">
        <f>'Model'!F33</f>
        <v>-5152.797408192</v>
      </c>
      <c r="O32" s="18"/>
    </row>
  </sheetData>
  <mergeCells count="1">
    <mergeCell ref="B2:O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6" customWidth="1"/>
    <col min="2" max="2" width="9.32031" style="36" customWidth="1"/>
    <col min="3" max="11" width="9" style="36" customWidth="1"/>
    <col min="12" max="16384" width="16.3516" style="36" customWidth="1"/>
  </cols>
  <sheetData>
    <row r="1" ht="35.7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52</v>
      </c>
      <c r="C3" t="s" s="5">
        <v>53</v>
      </c>
      <c r="D3" t="s" s="5">
        <v>54</v>
      </c>
      <c r="E3" t="s" s="5">
        <v>23</v>
      </c>
      <c r="F3" t="s" s="5">
        <v>24</v>
      </c>
      <c r="G3" t="s" s="5">
        <v>12</v>
      </c>
      <c r="H3" t="s" s="5">
        <v>26</v>
      </c>
      <c r="I3" t="s" s="5">
        <v>55</v>
      </c>
      <c r="J3" t="s" s="5">
        <v>56</v>
      </c>
      <c r="K3" t="s" s="5">
        <v>36</v>
      </c>
    </row>
    <row r="4" ht="20.25" customHeight="1">
      <c r="B4" s="25">
        <v>2016</v>
      </c>
      <c r="C4" s="35">
        <v>12969</v>
      </c>
      <c r="D4" s="29">
        <v>92361</v>
      </c>
      <c r="E4" s="29">
        <f>D4-C4</f>
        <v>79392</v>
      </c>
      <c r="F4" s="29">
        <v>18048</v>
      </c>
      <c r="G4" s="29">
        <v>47886</v>
      </c>
      <c r="H4" s="29">
        <v>44475</v>
      </c>
      <c r="I4" s="29">
        <f>G4+H4-C4-E4</f>
        <v>0</v>
      </c>
      <c r="J4" s="29"/>
      <c r="K4" s="29"/>
    </row>
    <row r="5" ht="20.05" customHeight="1">
      <c r="B5" s="31"/>
      <c r="C5" s="17">
        <v>11581</v>
      </c>
      <c r="D5" s="18">
        <v>92941</v>
      </c>
      <c r="E5" s="18">
        <f>D5-C5</f>
        <v>81360</v>
      </c>
      <c r="F5" s="18">
        <v>18657</v>
      </c>
      <c r="G5" s="18">
        <v>49265</v>
      </c>
      <c r="H5" s="18">
        <v>43676</v>
      </c>
      <c r="I5" s="18">
        <f>G5+H5-C5-E5</f>
        <v>0</v>
      </c>
      <c r="J5" s="18">
        <f>C5-G5</f>
        <v>-37684</v>
      </c>
      <c r="K5" s="18"/>
    </row>
    <row r="6" ht="20.05" customHeight="1">
      <c r="B6" s="31"/>
      <c r="C6" s="17">
        <v>11478</v>
      </c>
      <c r="D6" s="18">
        <v>92430</v>
      </c>
      <c r="E6" s="18">
        <f>D6-C6</f>
        <v>80952</v>
      </c>
      <c r="F6" s="18">
        <v>19281</v>
      </c>
      <c r="G6" s="18">
        <v>47524</v>
      </c>
      <c r="H6" s="18">
        <v>44906</v>
      </c>
      <c r="I6" s="18">
        <f>G6+H6-C6-E6</f>
        <v>0</v>
      </c>
      <c r="J6" s="18">
        <f>C6-G6</f>
        <v>-36046</v>
      </c>
      <c r="K6" s="18"/>
    </row>
    <row r="7" ht="20.05" customHeight="1">
      <c r="B7" s="31"/>
      <c r="C7" s="17">
        <v>13362</v>
      </c>
      <c r="D7" s="18">
        <v>82700</v>
      </c>
      <c r="E7" s="18">
        <f>D7-C7</f>
        <v>69338</v>
      </c>
      <c r="F7" s="18">
        <v>20634</v>
      </c>
      <c r="G7" s="18">
        <v>38365</v>
      </c>
      <c r="H7" s="18">
        <v>44335</v>
      </c>
      <c r="I7" s="18">
        <f>G7+H7-C7-E7</f>
        <v>0</v>
      </c>
      <c r="J7" s="18">
        <f>C7-G7</f>
        <v>-25003</v>
      </c>
      <c r="K7" s="18"/>
    </row>
    <row r="8" ht="20.05" customHeight="1">
      <c r="B8" s="32">
        <v>2017</v>
      </c>
      <c r="C8" s="17">
        <v>13302</v>
      </c>
      <c r="D8" s="18">
        <v>84697</v>
      </c>
      <c r="E8" s="18">
        <f>D8-C8</f>
        <v>71395</v>
      </c>
      <c r="F8" s="18">
        <v>20668</v>
      </c>
      <c r="G8" s="18">
        <v>38822</v>
      </c>
      <c r="H8" s="18">
        <v>45875</v>
      </c>
      <c r="I8" s="18">
        <f>G8+H8-C8-E8</f>
        <v>0</v>
      </c>
      <c r="J8" s="18">
        <f>C8-G8</f>
        <v>-25520</v>
      </c>
      <c r="K8" s="18"/>
    </row>
    <row r="9" ht="20.05" customHeight="1">
      <c r="B9" s="31"/>
      <c r="C9" s="17">
        <v>16346</v>
      </c>
      <c r="D9" s="18">
        <v>89778</v>
      </c>
      <c r="E9" s="18">
        <f>D9-C9</f>
        <v>73432</v>
      </c>
      <c r="F9" s="18">
        <v>21322</v>
      </c>
      <c r="G9" s="18">
        <v>45319</v>
      </c>
      <c r="H9" s="18">
        <v>44459</v>
      </c>
      <c r="I9" s="18">
        <f>G9+H9-C9-E9</f>
        <v>0</v>
      </c>
      <c r="J9" s="18">
        <f>C9-G9</f>
        <v>-28973</v>
      </c>
      <c r="K9" s="18"/>
    </row>
    <row r="10" ht="20.05" customHeight="1">
      <c r="B10" s="31"/>
      <c r="C10" s="17">
        <v>13019</v>
      </c>
      <c r="D10" s="18">
        <v>88244</v>
      </c>
      <c r="E10" s="18">
        <f>D10-C10</f>
        <v>75225</v>
      </c>
      <c r="F10" s="18">
        <v>21675</v>
      </c>
      <c r="G10" s="18">
        <v>42280</v>
      </c>
      <c r="H10" s="18">
        <v>45964</v>
      </c>
      <c r="I10" s="18">
        <f>G10+H10-C10-E10</f>
        <v>0</v>
      </c>
      <c r="J10" s="18">
        <f>C10-G10</f>
        <v>-29261</v>
      </c>
      <c r="K10" s="18"/>
    </row>
    <row r="11" ht="20.05" customHeight="1">
      <c r="B11" s="31"/>
      <c r="C11" s="17">
        <v>13690</v>
      </c>
      <c r="D11" s="18">
        <v>88401</v>
      </c>
      <c r="E11" s="18">
        <f>D11-C11</f>
        <v>74711</v>
      </c>
      <c r="F11" s="18">
        <v>22503</v>
      </c>
      <c r="G11" s="18">
        <v>41298</v>
      </c>
      <c r="H11" s="18">
        <v>47103</v>
      </c>
      <c r="I11" s="18">
        <f>G11+H11-C11-E11</f>
        <v>0</v>
      </c>
      <c r="J11" s="18">
        <f>C11-G11</f>
        <v>-27608</v>
      </c>
      <c r="K11" s="18"/>
    </row>
    <row r="12" ht="20.05" customHeight="1">
      <c r="B12" s="32">
        <v>2018</v>
      </c>
      <c r="C12" s="17">
        <v>14275</v>
      </c>
      <c r="D12" s="18">
        <v>92958</v>
      </c>
      <c r="E12" s="18">
        <f>D12-C12</f>
        <v>78683</v>
      </c>
      <c r="F12" s="18">
        <v>23681</v>
      </c>
      <c r="G12" s="18">
        <v>44226</v>
      </c>
      <c r="H12" s="18">
        <v>48732</v>
      </c>
      <c r="I12" s="18">
        <f>G12+H12-C12-E12</f>
        <v>0</v>
      </c>
      <c r="J12" s="18">
        <f>C12-G12</f>
        <v>-29951</v>
      </c>
      <c r="K12" s="18"/>
    </row>
    <row r="13" ht="20.05" customHeight="1">
      <c r="B13" s="31"/>
      <c r="C13" s="17">
        <v>14157</v>
      </c>
      <c r="D13" s="18">
        <v>93619</v>
      </c>
      <c r="E13" s="18">
        <f>D13-C13</f>
        <v>79462</v>
      </c>
      <c r="F13" s="18">
        <v>24443</v>
      </c>
      <c r="G13" s="18">
        <v>46446</v>
      </c>
      <c r="H13" s="18">
        <v>47173</v>
      </c>
      <c r="I13" s="18">
        <f>G13+H13-C13-E13</f>
        <v>0</v>
      </c>
      <c r="J13" s="18">
        <f>C13-G13</f>
        <v>-32289</v>
      </c>
      <c r="K13" s="18"/>
    </row>
    <row r="14" ht="20.05" customHeight="1">
      <c r="B14" s="31"/>
      <c r="C14" s="17">
        <v>12661</v>
      </c>
      <c r="D14" s="18">
        <v>95989</v>
      </c>
      <c r="E14" s="18">
        <f>D14-C14</f>
        <v>83328</v>
      </c>
      <c r="F14" s="18">
        <v>25218</v>
      </c>
      <c r="G14" s="18">
        <v>47435</v>
      </c>
      <c r="H14" s="18">
        <v>48554</v>
      </c>
      <c r="I14" s="18">
        <f>G14+H14-C14-E14</f>
        <v>0</v>
      </c>
      <c r="J14" s="18">
        <f>C14-G14</f>
        <v>-34774</v>
      </c>
      <c r="K14" s="18"/>
    </row>
    <row r="15" ht="20.05" customHeight="1">
      <c r="B15" s="31"/>
      <c r="C15" s="17">
        <v>8809</v>
      </c>
      <c r="D15" s="18">
        <v>96538</v>
      </c>
      <c r="E15" s="18">
        <f>D15-C15</f>
        <v>87729</v>
      </c>
      <c r="F15" s="18">
        <v>25887</v>
      </c>
      <c r="G15" s="18">
        <v>46621</v>
      </c>
      <c r="H15" s="18">
        <v>49917</v>
      </c>
      <c r="I15" s="18">
        <f>G15+H15-C15-E15</f>
        <v>0</v>
      </c>
      <c r="J15" s="18">
        <f>C15-G15</f>
        <v>-37812</v>
      </c>
      <c r="K15" s="18"/>
    </row>
    <row r="16" ht="20.05" customHeight="1">
      <c r="B16" s="32">
        <v>2019</v>
      </c>
      <c r="C16" s="17">
        <v>8923</v>
      </c>
      <c r="D16" s="18">
        <v>98091</v>
      </c>
      <c r="E16" s="18">
        <f>D16-C16</f>
        <v>89168</v>
      </c>
      <c r="F16" s="18">
        <v>26605</v>
      </c>
      <c r="G16" s="18">
        <v>46290</v>
      </c>
      <c r="H16" s="18">
        <v>51801</v>
      </c>
      <c r="I16" s="18">
        <f>G16+H16-C16-E16</f>
        <v>0</v>
      </c>
      <c r="J16" s="18">
        <f>C16-G16</f>
        <v>-37367</v>
      </c>
      <c r="K16" s="18"/>
    </row>
    <row r="17" ht="20.05" customHeight="1">
      <c r="B17" s="31"/>
      <c r="C17" s="17">
        <v>9533</v>
      </c>
      <c r="D17" s="18">
        <v>97368</v>
      </c>
      <c r="E17" s="18">
        <f>D17-C17</f>
        <v>87835</v>
      </c>
      <c r="F17" s="18">
        <v>27339</v>
      </c>
      <c r="G17" s="18">
        <v>46120</v>
      </c>
      <c r="H17" s="18">
        <v>51248</v>
      </c>
      <c r="I17" s="18">
        <f>G17+H17-C17-E17</f>
        <v>0</v>
      </c>
      <c r="J17" s="18">
        <f>C17-G17</f>
        <v>-36587</v>
      </c>
      <c r="K17" s="18"/>
    </row>
    <row r="18" ht="20.05" customHeight="1">
      <c r="B18" s="31"/>
      <c r="C18" s="17">
        <v>9408</v>
      </c>
      <c r="D18" s="18">
        <v>97062</v>
      </c>
      <c r="E18" s="18">
        <f>D18-C18</f>
        <v>87654</v>
      </c>
      <c r="F18" s="18">
        <v>28053</v>
      </c>
      <c r="G18" s="18">
        <v>45095</v>
      </c>
      <c r="H18" s="18">
        <v>51967</v>
      </c>
      <c r="I18" s="18">
        <f>G18+H18-C18-E18</f>
        <v>0</v>
      </c>
      <c r="J18" s="18">
        <f>C18-G18</f>
        <v>-35687</v>
      </c>
      <c r="K18" s="18"/>
    </row>
    <row r="19" ht="20.05" customHeight="1">
      <c r="B19" s="31"/>
      <c r="C19" s="17">
        <v>13745</v>
      </c>
      <c r="D19" s="18">
        <v>96198</v>
      </c>
      <c r="E19" s="18">
        <f>D19-C19</f>
        <v>82453</v>
      </c>
      <c r="F19" s="18">
        <v>28666</v>
      </c>
      <c r="G19" s="18">
        <v>41996</v>
      </c>
      <c r="H19" s="18">
        <v>54202</v>
      </c>
      <c r="I19" s="18">
        <f>G19+H19-C19-E19</f>
        <v>0</v>
      </c>
      <c r="J19" s="18">
        <f>C19-G19</f>
        <v>-28251</v>
      </c>
      <c r="K19" s="18"/>
    </row>
    <row r="20" ht="20.05" customHeight="1">
      <c r="B20" s="32">
        <v>2020</v>
      </c>
      <c r="C20" s="17">
        <v>16133</v>
      </c>
      <c r="D20" s="18">
        <v>102662</v>
      </c>
      <c r="E20" s="18">
        <f>D20-C20</f>
        <v>86529</v>
      </c>
      <c r="F20" s="18">
        <v>29768</v>
      </c>
      <c r="G20" s="18">
        <v>46092</v>
      </c>
      <c r="H20" s="18">
        <v>56570</v>
      </c>
      <c r="I20" s="18">
        <f>G20+H20-C20-E20</f>
        <v>0</v>
      </c>
      <c r="J20" s="18">
        <f>C20-G20</f>
        <v>-29959</v>
      </c>
      <c r="K20" s="18"/>
    </row>
    <row r="21" ht="20.05" customHeight="1">
      <c r="B21" s="31"/>
      <c r="C21" s="17">
        <v>15827</v>
      </c>
      <c r="D21" s="18">
        <v>103395</v>
      </c>
      <c r="E21" s="18">
        <f>D21-C21</f>
        <v>87568</v>
      </c>
      <c r="F21" s="18">
        <v>30241</v>
      </c>
      <c r="G21" s="18">
        <v>46055</v>
      </c>
      <c r="H21" s="18">
        <v>57340</v>
      </c>
      <c r="I21" s="18">
        <f>G21+H21-C21-E21</f>
        <v>0</v>
      </c>
      <c r="J21" s="18">
        <f>C21-G21</f>
        <v>-30228</v>
      </c>
      <c r="K21" s="18"/>
    </row>
    <row r="22" ht="20.05" customHeight="1">
      <c r="B22" s="31"/>
      <c r="C22" s="17">
        <v>14820</v>
      </c>
      <c r="D22" s="18">
        <v>161532</v>
      </c>
      <c r="E22" s="18">
        <f>D22-C22</f>
        <v>146712</v>
      </c>
      <c r="F22" s="18">
        <v>31078</v>
      </c>
      <c r="G22" s="18">
        <v>86258</v>
      </c>
      <c r="H22" s="18">
        <v>75274</v>
      </c>
      <c r="I22" s="18">
        <f>G22+H22-C22-E22</f>
        <v>0</v>
      </c>
      <c r="J22" s="18">
        <f>C22-G22</f>
        <v>-71438</v>
      </c>
      <c r="K22" s="18"/>
    </row>
    <row r="23" ht="20.05" customHeight="1">
      <c r="B23" s="31"/>
      <c r="C23" s="17">
        <v>17337</v>
      </c>
      <c r="D23" s="18">
        <v>163136</v>
      </c>
      <c r="E23" s="18">
        <f>D23-C23</f>
        <v>145799</v>
      </c>
      <c r="F23" s="18">
        <v>31604</v>
      </c>
      <c r="G23" s="18">
        <v>83998</v>
      </c>
      <c r="H23" s="18">
        <v>79138</v>
      </c>
      <c r="I23" s="18">
        <f>G23+H23-C23-E23</f>
        <v>0</v>
      </c>
      <c r="J23" s="18">
        <f>C23-G23</f>
        <v>-66661</v>
      </c>
      <c r="K23" s="18"/>
    </row>
    <row r="24" ht="20.05" customHeight="1">
      <c r="B24" s="32">
        <v>2021</v>
      </c>
      <c r="C24" s="17">
        <v>17408</v>
      </c>
      <c r="D24" s="18">
        <v>169576</v>
      </c>
      <c r="E24" s="18">
        <f>D24-C24</f>
        <v>152168</v>
      </c>
      <c r="F24" s="18">
        <v>32477</v>
      </c>
      <c r="G24" s="18">
        <v>87647</v>
      </c>
      <c r="H24" s="18">
        <v>81929</v>
      </c>
      <c r="I24" s="18">
        <f>G24+H24-C24-E24</f>
        <v>0</v>
      </c>
      <c r="J24" s="18">
        <f>C24-G24</f>
        <v>-70239</v>
      </c>
      <c r="K24" s="18"/>
    </row>
    <row r="25" ht="20.05" customHeight="1">
      <c r="B25" s="31"/>
      <c r="C25" s="17">
        <v>18280</v>
      </c>
      <c r="D25" s="18">
        <v>169392</v>
      </c>
      <c r="E25" s="18">
        <f>D25-C25</f>
        <v>151112</v>
      </c>
      <c r="F25" s="18">
        <v>33260</v>
      </c>
      <c r="G25" s="18">
        <v>85719</v>
      </c>
      <c r="H25" s="18">
        <v>83673</v>
      </c>
      <c r="I25" s="18">
        <f>G25+H25-C25-E25</f>
        <v>0</v>
      </c>
      <c r="J25" s="18">
        <f>C25-G25</f>
        <v>-67439</v>
      </c>
      <c r="K25" s="18"/>
    </row>
    <row r="26" ht="20.05" customHeight="1">
      <c r="B26" s="31"/>
      <c r="C26" s="17">
        <v>17802</v>
      </c>
      <c r="D26" s="18">
        <v>172127</v>
      </c>
      <c r="E26" s="18">
        <f>D26-C26</f>
        <v>154325</v>
      </c>
      <c r="F26" s="18">
        <f>31628+2317</f>
        <v>33945</v>
      </c>
      <c r="G26" s="18">
        <v>89166</v>
      </c>
      <c r="H26" s="18">
        <v>82961</v>
      </c>
      <c r="I26" s="18">
        <f>G26+H26-C26-E26</f>
        <v>0</v>
      </c>
      <c r="J26" s="18">
        <f>C26-G26</f>
        <v>-71364</v>
      </c>
      <c r="K26" s="18"/>
    </row>
    <row r="27" ht="20.05" customHeight="1">
      <c r="B27" s="31"/>
      <c r="C27" s="17">
        <v>29478</v>
      </c>
      <c r="D27" s="18">
        <v>179356</v>
      </c>
      <c r="E27" s="18">
        <f>D27-C27</f>
        <v>149878</v>
      </c>
      <c r="F27" s="18">
        <f>2351+32440</f>
        <v>34791</v>
      </c>
      <c r="G27" s="18">
        <v>92724</v>
      </c>
      <c r="H27" s="18">
        <v>86632</v>
      </c>
      <c r="I27" s="18">
        <f>G27+H27-C27-E27</f>
        <v>0</v>
      </c>
      <c r="J27" s="18">
        <f>C27-G27</f>
        <v>-63246</v>
      </c>
      <c r="K27" s="18">
        <f>J27</f>
        <v>-63246</v>
      </c>
    </row>
    <row r="28" ht="20.05" customHeight="1">
      <c r="B28" s="32">
        <v>2022</v>
      </c>
      <c r="C28" s="17"/>
      <c r="D28" s="18"/>
      <c r="E28" s="18"/>
      <c r="F28" s="18"/>
      <c r="G28" s="18"/>
      <c r="H28" s="18"/>
      <c r="I28" s="18"/>
      <c r="J28" s="18"/>
      <c r="K28" s="18">
        <f>'Model'!F31</f>
        <v>-52307.0779265536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2:E20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7.78125" style="37" customWidth="1"/>
    <col min="2" max="5" width="11.0547" style="37" customWidth="1"/>
    <col min="6" max="16384" width="16.3516" style="37" customWidth="1"/>
  </cols>
  <sheetData>
    <row r="1" ht="27.65" customHeight="1">
      <c r="B1" t="s" s="2">
        <v>57</v>
      </c>
      <c r="C1" s="2"/>
      <c r="D1" s="2"/>
      <c r="E1" s="2"/>
    </row>
    <row r="2" ht="32.25" customHeight="1">
      <c r="B2" s="4"/>
      <c r="C2" t="s" s="38">
        <v>57</v>
      </c>
      <c r="D2" t="s" s="38">
        <v>39</v>
      </c>
      <c r="E2" t="s" s="38">
        <v>58</v>
      </c>
    </row>
    <row r="3" ht="20.25" customHeight="1">
      <c r="B3" s="25">
        <v>2018</v>
      </c>
      <c r="C3" s="39">
        <v>7200</v>
      </c>
      <c r="D3" s="29"/>
      <c r="E3" s="29"/>
    </row>
    <row r="4" ht="20.05" customHeight="1">
      <c r="B4" s="31"/>
      <c r="C4" s="40">
        <v>6650</v>
      </c>
      <c r="D4" s="18"/>
      <c r="E4" s="18"/>
    </row>
    <row r="5" ht="20.05" customHeight="1">
      <c r="B5" s="31"/>
      <c r="C5" s="40">
        <v>5900</v>
      </c>
      <c r="D5" s="18"/>
      <c r="E5" s="18"/>
    </row>
    <row r="6" ht="20.05" customHeight="1">
      <c r="B6" s="31"/>
      <c r="C6" s="40">
        <v>7450</v>
      </c>
      <c r="D6" s="18"/>
      <c r="E6" s="18"/>
    </row>
    <row r="7" ht="20.05" customHeight="1">
      <c r="B7" s="32">
        <v>2019</v>
      </c>
      <c r="C7" s="40">
        <v>6375</v>
      </c>
      <c r="D7" s="18"/>
      <c r="E7" s="18"/>
    </row>
    <row r="8" ht="20.05" customHeight="1">
      <c r="B8" s="31"/>
      <c r="C8" s="40">
        <v>7025</v>
      </c>
      <c r="D8" s="18"/>
      <c r="E8" s="18"/>
    </row>
    <row r="9" ht="20.05" customHeight="1">
      <c r="B9" s="31"/>
      <c r="C9" s="40">
        <v>7700</v>
      </c>
      <c r="D9" s="22"/>
      <c r="E9" s="22"/>
    </row>
    <row r="10" ht="20.05" customHeight="1">
      <c r="B10" s="31"/>
      <c r="C10" s="40">
        <v>7925</v>
      </c>
      <c r="D10" s="22"/>
      <c r="E10" s="22"/>
    </row>
    <row r="11" ht="20.05" customHeight="1">
      <c r="B11" s="32">
        <v>2020</v>
      </c>
      <c r="C11" s="40">
        <v>6350</v>
      </c>
      <c r="D11" s="22"/>
      <c r="E11" s="22"/>
    </row>
    <row r="12" ht="20.05" customHeight="1">
      <c r="B12" s="31"/>
      <c r="C12" s="40">
        <v>6525</v>
      </c>
      <c r="D12" s="22"/>
      <c r="E12" s="22"/>
    </row>
    <row r="13" ht="20.05" customHeight="1">
      <c r="B13" s="31"/>
      <c r="C13" s="17">
        <v>7150</v>
      </c>
      <c r="D13" s="22"/>
      <c r="E13" s="22"/>
    </row>
    <row r="14" ht="20.05" customHeight="1">
      <c r="B14" s="31"/>
      <c r="C14" s="17">
        <v>6850</v>
      </c>
      <c r="D14" s="22"/>
      <c r="E14" s="22"/>
    </row>
    <row r="15" ht="20.05" customHeight="1">
      <c r="B15" s="32">
        <v>2021</v>
      </c>
      <c r="C15" s="17">
        <v>6600</v>
      </c>
      <c r="D15" s="22"/>
      <c r="E15" s="22"/>
    </row>
    <row r="16" ht="20.05" customHeight="1">
      <c r="B16" s="31"/>
      <c r="C16" s="17">
        <v>6175</v>
      </c>
      <c r="D16" s="22"/>
      <c r="E16" s="22"/>
    </row>
    <row r="17" ht="20.05" customHeight="1">
      <c r="B17" s="31"/>
      <c r="C17" s="17">
        <v>6350</v>
      </c>
      <c r="D17" s="22"/>
      <c r="E17" s="22"/>
    </row>
    <row r="18" ht="20.05" customHeight="1">
      <c r="B18" s="31"/>
      <c r="C18" s="17">
        <v>6325</v>
      </c>
      <c r="D18" s="22"/>
      <c r="E18" s="22"/>
    </row>
    <row r="19" ht="20.05" customHeight="1">
      <c r="B19" s="32">
        <v>2022</v>
      </c>
      <c r="C19" s="17">
        <v>5950</v>
      </c>
      <c r="D19" s="18">
        <f>C19</f>
        <v>5950</v>
      </c>
      <c r="E19" s="18">
        <v>12019.4746194737</v>
      </c>
    </row>
    <row r="20" ht="20.05" customHeight="1">
      <c r="B20" s="31"/>
      <c r="C20" s="17"/>
      <c r="D20" s="18">
        <f>'Model'!F44</f>
        <v>10593.7197361822</v>
      </c>
      <c r="E20" s="22"/>
    </row>
  </sheetData>
  <mergeCells count="1">
    <mergeCell ref="B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