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INCO" sheetId="5" r:id="rId8"/>
    <sheet name="Capital" sheetId="6" r:id="rId9"/>
  </sheets>
</workbook>
</file>

<file path=xl/sharedStrings.xml><?xml version="1.0" encoding="utf-8"?>
<sst xmlns="http://schemas.openxmlformats.org/spreadsheetml/2006/main" uniqueCount="70">
  <si>
    <t>Financial model</t>
  </si>
  <si>
    <t>$m</t>
  </si>
  <si>
    <t>4Q 2022</t>
  </si>
  <si>
    <t xml:space="preserve">Cashflow </t>
  </si>
  <si>
    <t>Growth</t>
  </si>
  <si>
    <t>Sales</t>
  </si>
  <si>
    <t>Cash 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</si>
  <si>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</si>
  <si>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</si>
  <si>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</si>
  <si>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</si>
  <si>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</si>
  <si>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</si>
  <si>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</si>
  <si>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</si>
  <si>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</si>
  <si>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</si>
  <si>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</si>
  <si>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</si>
  <si>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</si>
  <si>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</si>
  <si>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</si>
  <si>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</si>
  <si>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</si>
  <si>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</si>
  <si>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</si>
  <si>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</si>
  <si>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</si>
  <si>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</si>
  <si>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</si>
  <si>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</si>
  <si>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</si>
  <si>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</si>
  <si>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</si>
  <si>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</si>
  <si>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</si>
  <si>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</si>
  <si>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</si>
  <si>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</si>
  <si>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</si>
  <si>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</si>
  <si>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</si>
  <si>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</si>
  <si>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</t>
  </si>
  <si>
    <t>Sales growth</t>
  </si>
  <si>
    <t xml:space="preserve">Cost ratio </t>
  </si>
  <si>
    <t>Cashflow</t>
  </si>
  <si>
    <t>Cash receipts</t>
  </si>
  <si>
    <t>Interest</t>
  </si>
  <si>
    <t>Lease</t>
  </si>
  <si>
    <t xml:space="preserve">Operating </t>
  </si>
  <si>
    <t xml:space="preserve">Investment </t>
  </si>
  <si>
    <t>Liabilities</t>
  </si>
  <si>
    <t xml:space="preserve">Free cashflow </t>
  </si>
  <si>
    <t>Capital</t>
  </si>
  <si>
    <t>Assets</t>
  </si>
  <si>
    <t>Cash</t>
  </si>
  <si>
    <t xml:space="preserve">Assets </t>
  </si>
  <si>
    <t xml:space="preserve">Equity </t>
  </si>
  <si>
    <t xml:space="preserve">Check </t>
  </si>
  <si>
    <t>Vale Indonesia Tbk (INCO) Historical Prices - Investing.com</t>
  </si>
  <si>
    <t>Date</t>
  </si>
  <si>
    <t>INCO</t>
  </si>
  <si>
    <t>Target</t>
  </si>
  <si>
    <t xml:space="preserve">Previous </t>
  </si>
  <si>
    <t>Table 2</t>
  </si>
  <si>
    <t xml:space="preserve">Palm oil USD </t>
  </si>
  <si>
    <t>AALI</t>
  </si>
  <si>
    <t>Nickel</t>
  </si>
  <si>
    <t>Total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</si>
</sst>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#,##0%_);[Red]\(#,##0%\)"/>
    <numFmt numFmtId="62" formatCode="#,##0.0%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hadow val="1"/>
      <sz val="12"/>
      <color indexed="14"/>
      <name val="Helvetica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  <rgbColor rgb="ffb8b8b8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4786"/>
          <c:y val="0.12368"/>
          <c:w val="0.710723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'INCO'!$I$25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'INCO'!$F$26:$F$110</c:f>
              <c:strCache>
                <c:ptCount val="0"/>
              </c:strCache>
            </c:strRef>
          </c:cat>
          <c:val>
            <c:numRef>
              <c:f>'INCO'!$I$26:$I$110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strRef>
              <c:f>'INCO'!$J$25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'INCO'!$F$26:$F$110</c:f>
              <c:strCache>
                <c:ptCount val="0"/>
              </c:strCache>
            </c:strRef>
          </c:cat>
          <c:val>
            <c:numRef>
              <c:f>'INCO'!$J$26:$J$110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60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500"/>
        <c:minorUnit val="1750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5"/>
        <c:crosses val="max"/>
        <c:crossBetween val="between"/>
        <c:majorUnit val="1500"/>
        <c:minorUnit val="75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82248"/>
          <c:y val="0"/>
          <c:w val="0.213535"/>
          <c:h val="0.1031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3638"/>
          <c:y val="0.12368"/>
          <c:w val="0.712557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'INCO'!$G$25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'INCO'!$F$26:$F$110</c:f>
              <c:strCache>
                <c:ptCount val="0"/>
              </c:strCache>
            </c:strRef>
          </c:cat>
          <c:val>
            <c:numRef>
              <c:f>'INCO'!$G$26:$G$110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strRef>
              <c:f>'INCO'!$H$25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'INCO'!$F$26:$F$110</c:f>
              <c:strCache>
                <c:ptCount val="0"/>
              </c:strCache>
            </c:strRef>
          </c:cat>
          <c:val>
            <c:numRef>
              <c:f>'INCO'!$H$26:$H$110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3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75"/>
        <c:minorUnit val="87.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5"/>
        <c:crosses val="max"/>
        <c:crossBetween val="between"/>
        <c:majorUnit val="7500"/>
        <c:minorUnit val="375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466094"/>
          <c:y val="0"/>
          <c:w val="0.404426"/>
          <c:h val="0.1031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1758"/>
          <c:y val="0.0446026"/>
          <c:w val="0.817804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'Capital'!$F$3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'Capital'!$B$4:$B$22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'Capital'!$F$4:$F$22</c:f>
              <c:numCache>
                <c:ptCount val="19"/>
                <c:pt idx="0">
                  <c:v>0.000000</c:v>
                </c:pt>
                <c:pt idx="1">
                  <c:v>-76.925000</c:v>
                </c:pt>
                <c:pt idx="2">
                  <c:v>-153.850000</c:v>
                </c:pt>
                <c:pt idx="3">
                  <c:v>-192.300000</c:v>
                </c:pt>
                <c:pt idx="4">
                  <c:v>-192.300000</c:v>
                </c:pt>
                <c:pt idx="5">
                  <c:v>-192.300000</c:v>
                </c:pt>
                <c:pt idx="6">
                  <c:v>-42.300000</c:v>
                </c:pt>
                <c:pt idx="7">
                  <c:v>-42.300000</c:v>
                </c:pt>
                <c:pt idx="8">
                  <c:v>107.700000</c:v>
                </c:pt>
                <c:pt idx="9">
                  <c:v>70.200000</c:v>
                </c:pt>
                <c:pt idx="10">
                  <c:v>32.700000</c:v>
                </c:pt>
                <c:pt idx="11">
                  <c:v>-4.800000</c:v>
                </c:pt>
                <c:pt idx="12">
                  <c:v>-42.300000</c:v>
                </c:pt>
                <c:pt idx="13">
                  <c:v>-79.800000</c:v>
                </c:pt>
                <c:pt idx="14">
                  <c:v>-117.300000</c:v>
                </c:pt>
                <c:pt idx="15">
                  <c:v>-154.800000</c:v>
                </c:pt>
                <c:pt idx="16">
                  <c:v>-192.300000</c:v>
                </c:pt>
                <c:pt idx="17">
                  <c:v>-192.300000</c:v>
                </c:pt>
                <c:pt idx="18">
                  <c:v>-192.300000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'Capital'!$G$3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'Capital'!$B$4:$B$22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'Capital'!$G$4:$G$22</c:f>
              <c:numCache>
                <c:ptCount val="19"/>
                <c:pt idx="0">
                  <c:v>0.000000</c:v>
                </c:pt>
                <c:pt idx="1">
                  <c:v>-49.297000</c:v>
                </c:pt>
                <c:pt idx="2">
                  <c:v>-170.530000</c:v>
                </c:pt>
                <c:pt idx="3">
                  <c:v>-280.388000</c:v>
                </c:pt>
                <c:pt idx="4">
                  <c:v>-1748.763000</c:v>
                </c:pt>
                <c:pt idx="5">
                  <c:v>-1973.893000</c:v>
                </c:pt>
                <c:pt idx="6">
                  <c:v>-2080.805000</c:v>
                </c:pt>
                <c:pt idx="7">
                  <c:v>-2419.134000</c:v>
                </c:pt>
                <c:pt idx="8">
                  <c:v>-2661.740000</c:v>
                </c:pt>
                <c:pt idx="9">
                  <c:v>-2772.200000</c:v>
                </c:pt>
                <c:pt idx="10">
                  <c:v>-2821.514000</c:v>
                </c:pt>
                <c:pt idx="11">
                  <c:v>-2921.066000</c:v>
                </c:pt>
                <c:pt idx="12">
                  <c:v>-2921.102000</c:v>
                </c:pt>
                <c:pt idx="13">
                  <c:v>-2921.110000</c:v>
                </c:pt>
                <c:pt idx="14">
                  <c:v>-2921.110000</c:v>
                </c:pt>
                <c:pt idx="15">
                  <c:v>-2921.110000</c:v>
                </c:pt>
                <c:pt idx="16">
                  <c:v>-2921.110000</c:v>
                </c:pt>
                <c:pt idx="17">
                  <c:v>-2921.110000</c:v>
                </c:pt>
                <c:pt idx="18">
                  <c:v>-2954.210000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'Capital'!$H$3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'Capital'!$B$4:$B$22</c:f>
              <c:strCache>
                <c:ptCount val="1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</c:strCache>
            </c:strRef>
          </c:cat>
          <c:val>
            <c:numRef>
              <c:f>'Capital'!$H$4:$H$22</c:f>
              <c:numCache>
                <c:ptCount val="19"/>
                <c:pt idx="0">
                  <c:v>0.000000</c:v>
                </c:pt>
                <c:pt idx="1">
                  <c:v>-126.222000</c:v>
                </c:pt>
                <c:pt idx="2">
                  <c:v>-324.380000</c:v>
                </c:pt>
                <c:pt idx="3">
                  <c:v>-472.688000</c:v>
                </c:pt>
                <c:pt idx="4">
                  <c:v>-1941.063000</c:v>
                </c:pt>
                <c:pt idx="5">
                  <c:v>-2166.193000</c:v>
                </c:pt>
                <c:pt idx="6">
                  <c:v>-2123.105000</c:v>
                </c:pt>
                <c:pt idx="7">
                  <c:v>-2461.434000</c:v>
                </c:pt>
                <c:pt idx="8">
                  <c:v>-2554.040000</c:v>
                </c:pt>
                <c:pt idx="9">
                  <c:v>-2702.000000</c:v>
                </c:pt>
                <c:pt idx="10">
                  <c:v>-2788.814000</c:v>
                </c:pt>
                <c:pt idx="11">
                  <c:v>-2925.866000</c:v>
                </c:pt>
                <c:pt idx="12">
                  <c:v>-2963.402000</c:v>
                </c:pt>
                <c:pt idx="13">
                  <c:v>-3000.910000</c:v>
                </c:pt>
                <c:pt idx="14">
                  <c:v>-3038.410000</c:v>
                </c:pt>
                <c:pt idx="15">
                  <c:v>-3075.910000</c:v>
                </c:pt>
                <c:pt idx="16">
                  <c:v>-3113.410000</c:v>
                </c:pt>
                <c:pt idx="17">
                  <c:v>-3113.410000</c:v>
                </c:pt>
                <c:pt idx="18">
                  <c:v>-3146.510000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1250"/>
        <c:minorUnit val="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682145"/>
          <c:y val="0.0511523"/>
          <c:w val="0.376795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518380</xdr:colOff>
      <xdr:row>1</xdr:row>
      <xdr:rowOff>280859</xdr:rowOff>
    </xdr:from>
    <xdr:to>
      <xdr:col>13</xdr:col>
      <xdr:colOff>783925</xdr:colOff>
      <xdr:row>49</xdr:row>
      <xdr:rowOff>177159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85580" y="574229"/>
          <a:ext cx="8977746" cy="122203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33</xdr:col>
      <xdr:colOff>545477</xdr:colOff>
      <xdr:row>25</xdr:row>
      <xdr:rowOff>240798</xdr:rowOff>
    </xdr:from>
    <xdr:to>
      <xdr:col>39</xdr:col>
      <xdr:colOff>214759</xdr:colOff>
      <xdr:row>40</xdr:row>
      <xdr:rowOff>228733</xdr:rowOff>
    </xdr:to>
    <xdr:graphicFrame>
      <xdr:nvGraphicFramePr>
        <xdr:cNvPr id="4" name="2 Axis Chart"/>
        <xdr:cNvGraphicFramePr/>
      </xdr:nvGraphicFramePr>
      <xdr:xfrm>
        <a:off x="28701377" y="6913378"/>
        <a:ext cx="3479283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39</xdr:col>
      <xdr:colOff>256678</xdr:colOff>
      <xdr:row>25</xdr:row>
      <xdr:rowOff>240798</xdr:rowOff>
    </xdr:from>
    <xdr:to>
      <xdr:col>44</xdr:col>
      <xdr:colOff>583152</xdr:colOff>
      <xdr:row>40</xdr:row>
      <xdr:rowOff>228733</xdr:rowOff>
    </xdr:to>
    <xdr:graphicFrame>
      <xdr:nvGraphicFramePr>
        <xdr:cNvPr id="5" name="2 Axis Chart"/>
        <xdr:cNvGraphicFramePr/>
      </xdr:nvGraphicFramePr>
      <xdr:xfrm>
        <a:off x="32222578" y="6913378"/>
        <a:ext cx="3501475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484102</xdr:colOff>
      <xdr:row>30</xdr:row>
      <xdr:rowOff>30560</xdr:rowOff>
    </xdr:from>
    <xdr:to>
      <xdr:col>6</xdr:col>
      <xdr:colOff>120310</xdr:colOff>
      <xdr:row>43</xdr:row>
      <xdr:rowOff>82186</xdr:rowOff>
    </xdr:to>
    <xdr:graphicFrame>
      <xdr:nvGraphicFramePr>
        <xdr:cNvPr id="7" name="2D Line Chart"/>
        <xdr:cNvGraphicFramePr/>
      </xdr:nvGraphicFramePr>
      <xdr:xfrm>
        <a:off x="1716002" y="7783910"/>
        <a:ext cx="3649409" cy="333711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322836</xdr:colOff>
      <xdr:row>26</xdr:row>
      <xdr:rowOff>133492</xdr:rowOff>
    </xdr:from>
    <xdr:to>
      <xdr:col>6</xdr:col>
      <xdr:colOff>281576</xdr:colOff>
      <xdr:row>30</xdr:row>
      <xdr:rowOff>105123</xdr:rowOff>
    </xdr:to>
    <xdr:sp>
      <xdr:nvSpPr>
        <xdr:cNvPr id="8" name="INCO TOTAL PAID EQUALS MARKET CAP"/>
        <xdr:cNvSpPr txBox="1"/>
      </xdr:nvSpPr>
      <xdr:spPr>
        <a:xfrm>
          <a:off x="1554736" y="6875922"/>
          <a:ext cx="3971941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INCO TOTAL PAID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EQUALS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MARKET CAP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5938" style="1" customWidth="1"/>
    <col min="2" max="2" width="15.3125" style="1" customWidth="1"/>
    <col min="3" max="6" width="8.875" style="1" customWidth="1"/>
    <col min="7" max="16384" width="16.3516" style="1" customWidth="1"/>
  </cols>
  <sheetData>
    <row r="1" ht="23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AVERAGE('Sales'!G29:G32)</f>
        <v>0.0435343264783863</v>
      </c>
      <c r="D4" s="8"/>
      <c r="E4" s="8"/>
      <c r="F4" s="9">
        <f>AVERAGE(C5:F5)</f>
        <v>0.0325</v>
      </c>
    </row>
    <row r="5" ht="20.05" customHeight="1">
      <c r="B5" t="s" s="10">
        <v>4</v>
      </c>
      <c r="C5" s="11">
        <v>0.05</v>
      </c>
      <c r="D5" s="12">
        <v>0.05</v>
      </c>
      <c r="E5" s="12">
        <v>0.03</v>
      </c>
      <c r="F5" s="12">
        <v>0</v>
      </c>
    </row>
    <row r="6" ht="20.05" customHeight="1">
      <c r="B6" t="s" s="10">
        <v>5</v>
      </c>
      <c r="C6" s="13">
        <f>'Sales'!C32*(1+C5)</f>
        <v>246.855</v>
      </c>
      <c r="D6" s="14">
        <f>C6*(1+D5)</f>
        <v>259.19775</v>
      </c>
      <c r="E6" s="14">
        <f>D6*(1+E5)</f>
        <v>266.9736825</v>
      </c>
      <c r="F6" s="14">
        <f>E6*(1+F5)</f>
        <v>266.9736825</v>
      </c>
    </row>
    <row r="7" ht="20.05" customHeight="1">
      <c r="B7" t="s" s="10">
        <v>6</v>
      </c>
      <c r="C7" s="15">
        <f>AVERAGE('Sales'!H32:I32)</f>
        <v>-0.589629705866578</v>
      </c>
      <c r="D7" s="16">
        <f>C7</f>
        <v>-0.589629705866578</v>
      </c>
      <c r="E7" s="16">
        <f>D7</f>
        <v>-0.589629705866578</v>
      </c>
      <c r="F7" s="16">
        <f>E7</f>
        <v>-0.589629705866578</v>
      </c>
    </row>
    <row r="8" ht="20.05" customHeight="1">
      <c r="B8" t="s" s="10">
        <v>7</v>
      </c>
      <c r="C8" s="17">
        <f>C6*C7</f>
        <v>-145.553041041694</v>
      </c>
      <c r="D8" s="18">
        <f>D6*D7</f>
        <v>-152.830693093779</v>
      </c>
      <c r="E8" s="18">
        <f>E6*E7</f>
        <v>-157.415613886592</v>
      </c>
      <c r="F8" s="18">
        <f>F6*F7</f>
        <v>-157.415613886592</v>
      </c>
    </row>
    <row r="9" ht="20.05" customHeight="1">
      <c r="B9" t="s" s="10">
        <v>8</v>
      </c>
      <c r="C9" s="17">
        <f>C6+C8</f>
        <v>101.301958958306</v>
      </c>
      <c r="D9" s="18">
        <f>D6+D8</f>
        <v>106.367056906221</v>
      </c>
      <c r="E9" s="18">
        <f>E6+E8</f>
        <v>109.558068613408</v>
      </c>
      <c r="F9" s="18">
        <f>F6+F8</f>
        <v>109.558068613408</v>
      </c>
    </row>
    <row r="10" ht="20.05" customHeight="1">
      <c r="B10" t="s" s="10">
        <v>9</v>
      </c>
      <c r="C10" s="17">
        <f>AVERAGE('Cashflow '!G32)</f>
        <v>-42.3</v>
      </c>
      <c r="D10" s="18">
        <f>C10</f>
        <v>-42.3</v>
      </c>
      <c r="E10" s="18">
        <f>D10</f>
        <v>-42.3</v>
      </c>
      <c r="F10" s="18">
        <f>E10</f>
        <v>-42.3</v>
      </c>
    </row>
    <row r="11" ht="20.05" customHeight="1">
      <c r="B11" t="s" s="10">
        <v>10</v>
      </c>
      <c r="C11" s="17">
        <f>C12+C15+C13</f>
        <v>-59.001958958306</v>
      </c>
      <c r="D11" s="18">
        <f>D12+D15+D13</f>
        <v>-64.067056906221</v>
      </c>
      <c r="E11" s="18">
        <f>E12+E15+E13</f>
        <v>-67.258068613408</v>
      </c>
      <c r="F11" s="18">
        <f>F12+F15+F13</f>
        <v>-67.258068613408</v>
      </c>
    </row>
    <row r="12" ht="20.05" customHeight="1">
      <c r="B12" t="s" s="10">
        <v>11</v>
      </c>
      <c r="C12" s="17">
        <f>-('Balance sheet'!G32)/20</f>
        <v>-16.1</v>
      </c>
      <c r="D12" s="18">
        <f>-C27/20</f>
        <v>-15.295</v>
      </c>
      <c r="E12" s="18">
        <f>-D27/20</f>
        <v>-14.53025</v>
      </c>
      <c r="F12" s="18">
        <f>-E27/20</f>
        <v>-13.8037375</v>
      </c>
    </row>
    <row r="13" ht="20.05" customHeight="1">
      <c r="B13" t="s" s="10">
        <v>12</v>
      </c>
      <c r="C13" s="17">
        <f>-MIN(0,C16)</f>
        <v>30.7803917916612</v>
      </c>
      <c r="D13" s="18">
        <f>-MIN(C28,D16)</f>
        <v>30.9884113812442</v>
      </c>
      <c r="E13" s="18">
        <f>-MIN(D28,E16)</f>
        <v>30.8618637226816</v>
      </c>
      <c r="F13" s="18">
        <f>-MIN(E28,F16)</f>
        <v>30.1353512226816</v>
      </c>
    </row>
    <row r="14" ht="20.05" customHeight="1">
      <c r="B14" t="s" s="10">
        <v>13</v>
      </c>
      <c r="C14" s="19">
        <v>1.2</v>
      </c>
      <c r="D14" s="18"/>
      <c r="E14" s="18"/>
      <c r="F14" s="18"/>
    </row>
    <row r="15" ht="20.05" customHeight="1">
      <c r="B15" t="s" s="10">
        <v>14</v>
      </c>
      <c r="C15" s="17">
        <f>IF(C9+C10&gt;0,-C22*$C$14,0)</f>
        <v>-73.6823507499672</v>
      </c>
      <c r="D15" s="18">
        <f>IF(D9+D10&gt;0,-D22*$C$14,0)</f>
        <v>-79.7604682874652</v>
      </c>
      <c r="E15" s="18">
        <f>IF(E9+E10&gt;0,-E22*$C$14,0)</f>
        <v>-83.5896823360896</v>
      </c>
      <c r="F15" s="18">
        <f>IF(F9+F10&gt;0,-F22*$C$14,0)</f>
        <v>-83.5896823360896</v>
      </c>
    </row>
    <row r="16" ht="20.05" customHeight="1">
      <c r="B16" t="s" s="10">
        <v>15</v>
      </c>
      <c r="C16" s="17">
        <f>C9+C10+C12+C15</f>
        <v>-30.7803917916612</v>
      </c>
      <c r="D16" s="18">
        <f>D9+D10+D12+D15</f>
        <v>-30.9884113812442</v>
      </c>
      <c r="E16" s="18">
        <f>E9+E10+E12+E15</f>
        <v>-30.8618637226816</v>
      </c>
      <c r="F16" s="18">
        <f>F9+F10+F12+F15</f>
        <v>-30.1353512226816</v>
      </c>
    </row>
    <row r="17" ht="20.05" customHeight="1">
      <c r="B17" t="s" s="10">
        <v>16</v>
      </c>
      <c r="C17" s="17">
        <f>'Balance sheet'!C32</f>
        <v>518</v>
      </c>
      <c r="D17" s="18">
        <f>C19</f>
        <v>518</v>
      </c>
      <c r="E17" s="18">
        <f>D19</f>
        <v>518</v>
      </c>
      <c r="F17" s="18">
        <f>E19</f>
        <v>518</v>
      </c>
    </row>
    <row r="18" ht="20.05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05" customHeight="1">
      <c r="B19" t="s" s="10">
        <v>18</v>
      </c>
      <c r="C19" s="17">
        <f>C17+C18</f>
        <v>518</v>
      </c>
      <c r="D19" s="18">
        <f>D17+D18</f>
        <v>518</v>
      </c>
      <c r="E19" s="18">
        <f>E17+E18</f>
        <v>518</v>
      </c>
      <c r="F19" s="18">
        <f>F17+F18</f>
        <v>518</v>
      </c>
    </row>
    <row r="20" ht="20.05" customHeight="1">
      <c r="B20" t="s" s="20">
        <v>19</v>
      </c>
      <c r="C20" s="21"/>
      <c r="D20" s="22"/>
      <c r="E20" s="22"/>
      <c r="F20" s="23"/>
    </row>
    <row r="21" ht="20.05" customHeight="1">
      <c r="B21" t="s" s="10">
        <v>20</v>
      </c>
      <c r="C21" s="17">
        <f>-AVERAGE('Sales'!E32)</f>
        <v>-39.9</v>
      </c>
      <c r="D21" s="18">
        <f>C21</f>
        <v>-39.9</v>
      </c>
      <c r="E21" s="18">
        <f>D21</f>
        <v>-39.9</v>
      </c>
      <c r="F21" s="18">
        <f>E21</f>
        <v>-39.9</v>
      </c>
    </row>
    <row r="22" ht="20.05" customHeight="1">
      <c r="B22" t="s" s="10">
        <v>21</v>
      </c>
      <c r="C22" s="17">
        <f>C6+C8+C21</f>
        <v>61.401958958306</v>
      </c>
      <c r="D22" s="18">
        <f>D6+D8+D21</f>
        <v>66.467056906221</v>
      </c>
      <c r="E22" s="18">
        <f>E6+E8+E21</f>
        <v>69.65806861340801</v>
      </c>
      <c r="F22" s="18">
        <f>F6+F8+F21</f>
        <v>69.65806861340801</v>
      </c>
    </row>
    <row r="23" ht="20.05" customHeight="1">
      <c r="B23" t="s" s="20">
        <v>22</v>
      </c>
      <c r="C23" s="21"/>
      <c r="D23" s="22"/>
      <c r="E23" s="22"/>
      <c r="F23" s="18"/>
    </row>
    <row r="24" ht="20.05" customHeight="1">
      <c r="B24" t="s" s="10">
        <v>23</v>
      </c>
      <c r="C24" s="17">
        <f>'Balance sheet'!E32+'Balance sheet'!F32-C10</f>
        <v>4597.3</v>
      </c>
      <c r="D24" s="18">
        <f>C24-D10</f>
        <v>4639.6</v>
      </c>
      <c r="E24" s="18">
        <f>D24-E10</f>
        <v>4681.9</v>
      </c>
      <c r="F24" s="18">
        <f>E24-F10</f>
        <v>4724.2</v>
      </c>
    </row>
    <row r="25" ht="20.05" customHeight="1">
      <c r="B25" t="s" s="10">
        <v>24</v>
      </c>
      <c r="C25" s="17">
        <f>'Balance sheet'!F32-C21</f>
        <v>2568.9</v>
      </c>
      <c r="D25" s="18">
        <f>C25-D21</f>
        <v>2608.8</v>
      </c>
      <c r="E25" s="18">
        <f>D25-E21</f>
        <v>2648.7</v>
      </c>
      <c r="F25" s="18">
        <f>E25-F21</f>
        <v>2688.6</v>
      </c>
    </row>
    <row r="26" ht="20.05" customHeight="1">
      <c r="B26" t="s" s="10">
        <v>25</v>
      </c>
      <c r="C26" s="17">
        <f>C24-C25</f>
        <v>2028.4</v>
      </c>
      <c r="D26" s="18">
        <f>D24-D25</f>
        <v>2030.8</v>
      </c>
      <c r="E26" s="18">
        <f>E24-E25</f>
        <v>2033.2</v>
      </c>
      <c r="F26" s="18">
        <f>F24-F25</f>
        <v>2035.6</v>
      </c>
    </row>
    <row r="27" ht="20.05" customHeight="1">
      <c r="B27" t="s" s="10">
        <v>11</v>
      </c>
      <c r="C27" s="17">
        <f>'Balance sheet'!G32+C12</f>
        <v>305.9</v>
      </c>
      <c r="D27" s="18">
        <f>C27+D12</f>
        <v>290.605</v>
      </c>
      <c r="E27" s="18">
        <f>D27+E12</f>
        <v>276.07475</v>
      </c>
      <c r="F27" s="18">
        <f>E27+F12</f>
        <v>262.2710125</v>
      </c>
    </row>
    <row r="28" ht="20.05" customHeight="1">
      <c r="B28" t="s" s="10">
        <v>12</v>
      </c>
      <c r="C28" s="17">
        <f>C13</f>
        <v>30.7803917916612</v>
      </c>
      <c r="D28" s="18">
        <f>C28+D13</f>
        <v>61.7688031729054</v>
      </c>
      <c r="E28" s="18">
        <f>D28+E13</f>
        <v>92.630666895587</v>
      </c>
      <c r="F28" s="18">
        <f>E28+F13</f>
        <v>122.766018118269</v>
      </c>
    </row>
    <row r="29" ht="20.05" customHeight="1">
      <c r="B29" t="s" s="10">
        <v>14</v>
      </c>
      <c r="C29" s="17">
        <f>'Balance sheet'!H32+C22+C15</f>
        <v>2209.719608208340</v>
      </c>
      <c r="D29" s="18">
        <f>C29+D22+D15</f>
        <v>2196.4261968271</v>
      </c>
      <c r="E29" s="18">
        <f>D29+E22+E15</f>
        <v>2182.494583104420</v>
      </c>
      <c r="F29" s="18">
        <f>E29+F22+F15</f>
        <v>2168.562969381740</v>
      </c>
    </row>
    <row r="30" ht="20.05" customHeight="1">
      <c r="B30" t="s" s="10">
        <v>26</v>
      </c>
      <c r="C30" s="17">
        <f>C27+C28+C29-C19-C26</f>
        <v>1.2e-12</v>
      </c>
      <c r="D30" s="18">
        <f>D27+D28+D29-D19-D26</f>
        <v>5.4e-12</v>
      </c>
      <c r="E30" s="18">
        <f>E27+E28+E29-E19-E26</f>
        <v>7e-12</v>
      </c>
      <c r="F30" s="18">
        <f>F27+F28+F29-F19-F26</f>
        <v>9e-12</v>
      </c>
    </row>
    <row r="31" ht="20.05" customHeight="1">
      <c r="B31" t="s" s="10">
        <v>27</v>
      </c>
      <c r="C31" s="17">
        <f>C19-C27-C28</f>
        <v>181.319608208339</v>
      </c>
      <c r="D31" s="18">
        <f>D19-D27-D28</f>
        <v>165.626196827095</v>
      </c>
      <c r="E31" s="18">
        <f>E19-E27-E28</f>
        <v>149.294583104413</v>
      </c>
      <c r="F31" s="18">
        <f>F19-F27-F28</f>
        <v>132.962969381731</v>
      </c>
    </row>
    <row r="32" ht="20.05" customHeight="1">
      <c r="B32" t="s" s="20">
        <v>28</v>
      </c>
      <c r="C32" s="17"/>
      <c r="D32" s="18"/>
      <c r="E32" s="18"/>
      <c r="F32" s="18"/>
    </row>
    <row r="33" ht="20.05" customHeight="1">
      <c r="B33" t="s" s="10">
        <v>29</v>
      </c>
      <c r="C33" s="17"/>
      <c r="D33" s="18"/>
      <c r="E33" s="18"/>
      <c r="F33" s="18">
        <v>14.3</v>
      </c>
    </row>
    <row r="34" ht="20.05" customHeight="1">
      <c r="B34" t="s" s="10">
        <v>30</v>
      </c>
      <c r="C34" s="17">
        <f>'Cashflow '!N32-C11</f>
        <v>267.010958958306</v>
      </c>
      <c r="D34" s="18">
        <f>C34-D11</f>
        <v>331.078015864527</v>
      </c>
      <c r="E34" s="18">
        <f>D34-E11</f>
        <v>398.336084477935</v>
      </c>
      <c r="F34" s="18">
        <f>E34-F11</f>
        <v>465.594153091343</v>
      </c>
    </row>
    <row r="35" ht="20.05" customHeight="1">
      <c r="B35" t="s" s="10">
        <v>31</v>
      </c>
      <c r="C35" s="17"/>
      <c r="D35" s="18"/>
      <c r="E35" s="18"/>
      <c r="F35" s="18">
        <v>71293239270400</v>
      </c>
    </row>
    <row r="36" ht="20.05" customHeight="1">
      <c r="B36" t="s" s="10">
        <v>31</v>
      </c>
      <c r="C36" s="17"/>
      <c r="D36" s="18"/>
      <c r="E36" s="18"/>
      <c r="F36" s="18">
        <f>(F35/1000000000)/F33</f>
        <v>4985.541207720280</v>
      </c>
    </row>
    <row r="37" ht="20.05" customHeight="1">
      <c r="B37" t="s" s="10">
        <v>32</v>
      </c>
      <c r="C37" s="17"/>
      <c r="D37" s="18"/>
      <c r="E37" s="18"/>
      <c r="F37" s="24">
        <f>F36/(F19+F26)</f>
        <v>1.95235792908846</v>
      </c>
    </row>
    <row r="38" ht="20.05" customHeight="1">
      <c r="B38" t="s" s="10">
        <v>33</v>
      </c>
      <c r="C38" s="17"/>
      <c r="D38" s="18"/>
      <c r="E38" s="18"/>
      <c r="F38" s="16">
        <f>-(C15+D15+E15+F15)/F36</f>
        <v>0.0643104069048947</v>
      </c>
    </row>
    <row r="39" ht="20.05" customHeight="1">
      <c r="B39" t="s" s="10">
        <v>3</v>
      </c>
      <c r="C39" s="17"/>
      <c r="D39" s="18"/>
      <c r="E39" s="18"/>
      <c r="F39" s="18">
        <f>SUM(C9:F10)</f>
        <v>257.585153091343</v>
      </c>
    </row>
    <row r="40" ht="20.05" customHeight="1">
      <c r="B40" t="s" s="10">
        <v>34</v>
      </c>
      <c r="C40" s="17"/>
      <c r="D40" s="18"/>
      <c r="E40" s="18"/>
      <c r="F40" s="18">
        <f>'Balance sheet'!E32/F39</f>
        <v>7.8653601563812</v>
      </c>
    </row>
    <row r="41" ht="20.05" customHeight="1">
      <c r="B41" t="s" s="10">
        <v>28</v>
      </c>
      <c r="C41" s="17"/>
      <c r="D41" s="18"/>
      <c r="E41" s="18"/>
      <c r="F41" s="18">
        <f>F36/F39</f>
        <v>19.3549245672259</v>
      </c>
    </row>
    <row r="42" ht="20.05" customHeight="1">
      <c r="B42" t="s" s="10">
        <v>35</v>
      </c>
      <c r="C42" s="17"/>
      <c r="D42" s="18"/>
      <c r="E42" s="18"/>
      <c r="F42" s="18">
        <v>20</v>
      </c>
    </row>
    <row r="43" ht="20.05" customHeight="1">
      <c r="B43" t="s" s="10">
        <v>36</v>
      </c>
      <c r="C43" s="17"/>
      <c r="D43" s="18"/>
      <c r="E43" s="18"/>
      <c r="F43" s="18">
        <f>F39*F42</f>
        <v>5151.703061826860</v>
      </c>
    </row>
    <row r="44" ht="20.05" customHeight="1">
      <c r="B44" t="s" s="10">
        <v>37</v>
      </c>
      <c r="C44" s="17"/>
      <c r="D44" s="18"/>
      <c r="E44" s="18"/>
      <c r="F44" s="18">
        <f>50680/F46</f>
        <v>7.06341463414634</v>
      </c>
    </row>
    <row r="45" ht="20.05" customHeight="1">
      <c r="B45" t="s" s="10">
        <v>38</v>
      </c>
      <c r="C45" s="17"/>
      <c r="D45" s="18"/>
      <c r="E45" s="18"/>
      <c r="F45" s="18">
        <f>(F43/F44)*F33</f>
        <v>10429.708236012</v>
      </c>
    </row>
    <row r="46" ht="20.05" customHeight="1">
      <c r="B46" t="s" s="10">
        <v>39</v>
      </c>
      <c r="C46" s="17"/>
      <c r="D46" s="18"/>
      <c r="E46" s="18"/>
      <c r="F46" s="18">
        <f>'INCO'!C21</f>
        <v>7175</v>
      </c>
    </row>
    <row r="47" ht="20.05" customHeight="1">
      <c r="B47" t="s" s="10">
        <v>40</v>
      </c>
      <c r="C47" s="17"/>
      <c r="D47" s="18"/>
      <c r="E47" s="18"/>
      <c r="F47" s="16">
        <f>F45/F46-1</f>
        <v>0.453617872614913</v>
      </c>
    </row>
    <row r="48" ht="20.05" customHeight="1">
      <c r="B48" t="s" s="10">
        <v>41</v>
      </c>
      <c r="C48" s="17"/>
      <c r="D48" s="18"/>
      <c r="E48" s="18"/>
      <c r="F48" s="16">
        <f>'Sales'!C32/'Sales'!C28-1</f>
        <v>0.135748792270531</v>
      </c>
    </row>
    <row r="49" ht="20.05" customHeight="1">
      <c r="B49" t="s" s="10">
        <v>42</v>
      </c>
      <c r="C49" s="17"/>
      <c r="D49" s="18"/>
      <c r="E49" s="18"/>
      <c r="F49" s="16">
        <f>'Sales'!F35/'Sales'!E35-1</f>
        <v>0.01489270962649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75781" style="25" customWidth="1"/>
    <col min="2" max="2" width="8.8125" style="25" customWidth="1"/>
    <col min="3" max="10" width="9.66406" style="25" customWidth="1"/>
    <col min="11" max="16384" width="16.3516" style="25" customWidth="1"/>
  </cols>
  <sheetData>
    <row r="1" ht="45.3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43</v>
      </c>
      <c r="D3" t="s" s="5">
        <v>35</v>
      </c>
      <c r="E3" t="s" s="5">
        <v>24</v>
      </c>
      <c r="F3" t="s" s="5">
        <v>21</v>
      </c>
      <c r="G3" t="s" s="5">
        <v>44</v>
      </c>
      <c r="H3" t="s" s="5">
        <v>45</v>
      </c>
      <c r="I3" t="s" s="5">
        <v>45</v>
      </c>
      <c r="J3" t="s" s="5">
        <v>35</v>
      </c>
    </row>
    <row r="4" ht="20.25" customHeight="1">
      <c r="B4" s="26">
        <v>2015</v>
      </c>
      <c r="C4" s="27">
        <v>211.9</v>
      </c>
      <c r="D4" s="28"/>
      <c r="E4" s="28">
        <v>34.6</v>
      </c>
      <c r="F4" s="29">
        <v>25.1</v>
      </c>
      <c r="G4" s="9"/>
      <c r="H4" s="30">
        <f>(E4+F4-C4)/C4</f>
        <v>-0.718263331760264</v>
      </c>
      <c r="I4" s="30"/>
      <c r="J4" s="30"/>
    </row>
    <row r="5" ht="20.05" customHeight="1">
      <c r="B5" s="31"/>
      <c r="C5" s="13">
        <v>197.8</v>
      </c>
      <c r="D5" s="14"/>
      <c r="E5" s="14">
        <v>33.3</v>
      </c>
      <c r="F5" s="18">
        <v>16.8</v>
      </c>
      <c r="G5" s="12">
        <f>C5/C4-1</f>
        <v>-0.0665408211420481</v>
      </c>
      <c r="H5" s="16">
        <f>(E5+F5-C5)/C5</f>
        <v>-0.746713852376138</v>
      </c>
      <c r="I5" s="16"/>
      <c r="J5" s="16"/>
    </row>
    <row r="6" ht="20.05" customHeight="1">
      <c r="B6" s="31"/>
      <c r="C6" s="13">
        <v>203.5</v>
      </c>
      <c r="D6" s="14"/>
      <c r="E6" s="14">
        <v>39.1</v>
      </c>
      <c r="F6" s="18">
        <v>10</v>
      </c>
      <c r="G6" s="12">
        <f>C6/C5-1</f>
        <v>0.0288169868554095</v>
      </c>
      <c r="H6" s="16">
        <f>(E6+F6-C6)/C6</f>
        <v>-0.758722358722359</v>
      </c>
      <c r="I6" s="16"/>
      <c r="J6" s="16"/>
    </row>
    <row r="7" ht="20.05" customHeight="1">
      <c r="B7" s="31"/>
      <c r="C7" s="13">
        <v>176.6</v>
      </c>
      <c r="D7" s="14"/>
      <c r="E7" s="14">
        <v>28</v>
      </c>
      <c r="F7" s="18">
        <v>-1.4</v>
      </c>
      <c r="G7" s="12">
        <f>C7/C6-1</f>
        <v>-0.132186732186732</v>
      </c>
      <c r="H7" s="16">
        <f>(E7+F7-C7)/C7</f>
        <v>-0.849377123442809</v>
      </c>
      <c r="I7" s="16"/>
      <c r="J7" s="16"/>
    </row>
    <row r="8" ht="20.05" customHeight="1">
      <c r="B8" s="32">
        <v>2016</v>
      </c>
      <c r="C8" s="13">
        <v>108.7</v>
      </c>
      <c r="D8" s="14"/>
      <c r="E8" s="14">
        <v>26.6</v>
      </c>
      <c r="F8" s="18">
        <v>-15.4</v>
      </c>
      <c r="G8" s="12">
        <f>C8/C7-1</f>
        <v>-0.384484711211778</v>
      </c>
      <c r="H8" s="16">
        <f>(E8+F8-C8)/C8</f>
        <v>-0.896964121435143</v>
      </c>
      <c r="I8" s="16"/>
      <c r="J8" s="16"/>
    </row>
    <row r="9" ht="20.05" customHeight="1">
      <c r="B9" s="31"/>
      <c r="C9" s="13">
        <v>138.1</v>
      </c>
      <c r="D9" s="14"/>
      <c r="E9" s="14">
        <v>29.7</v>
      </c>
      <c r="F9" s="18">
        <v>-4.6</v>
      </c>
      <c r="G9" s="12">
        <f>C9/C8-1</f>
        <v>0.270469181232751</v>
      </c>
      <c r="H9" s="16">
        <f>(E9+F9-C9)/C9</f>
        <v>-0.818247646632875</v>
      </c>
      <c r="I9" s="16"/>
      <c r="J9" s="16"/>
    </row>
    <row r="10" ht="20.05" customHeight="1">
      <c r="B10" s="31"/>
      <c r="C10" s="13">
        <v>158.6</v>
      </c>
      <c r="D10" s="14"/>
      <c r="E10" s="14">
        <v>28.7</v>
      </c>
      <c r="F10" s="18">
        <v>13</v>
      </c>
      <c r="G10" s="12">
        <f>C10/C9-1</f>
        <v>0.148443157132513</v>
      </c>
      <c r="H10" s="16">
        <f>(E10+F10-C10)/C10</f>
        <v>-0.737074401008827</v>
      </c>
      <c r="I10" s="16"/>
      <c r="J10" s="16"/>
    </row>
    <row r="11" ht="20.05" customHeight="1">
      <c r="B11" s="31"/>
      <c r="C11" s="13">
        <v>178.7</v>
      </c>
      <c r="D11" s="14"/>
      <c r="E11" s="14">
        <v>35.7</v>
      </c>
      <c r="F11" s="18">
        <v>8.9</v>
      </c>
      <c r="G11" s="12">
        <f>C11/C10-1</f>
        <v>0.126733921815889</v>
      </c>
      <c r="H11" s="16">
        <f>(E11+F11-C11)/C11</f>
        <v>-0.750419697817571</v>
      </c>
      <c r="I11" s="16"/>
      <c r="J11" s="16"/>
    </row>
    <row r="12" ht="20.05" customHeight="1">
      <c r="B12" s="32">
        <v>2017</v>
      </c>
      <c r="C12" s="13">
        <v>143.9</v>
      </c>
      <c r="D12" s="14"/>
      <c r="E12" s="14">
        <v>30.6</v>
      </c>
      <c r="F12" s="18">
        <v>-6.2</v>
      </c>
      <c r="G12" s="12">
        <f>C12/C11-1</f>
        <v>-0.194739787353106</v>
      </c>
      <c r="H12" s="16">
        <f>(E12+F12-C12)/C12</f>
        <v>-0.830437804030577</v>
      </c>
      <c r="I12" s="16"/>
      <c r="J12" s="16"/>
    </row>
    <row r="13" ht="20.05" customHeight="1">
      <c r="B13" s="31"/>
      <c r="C13" s="13">
        <v>147.9</v>
      </c>
      <c r="D13" s="14"/>
      <c r="E13" s="14">
        <v>30.8</v>
      </c>
      <c r="F13" s="18">
        <v>-15.3</v>
      </c>
      <c r="G13" s="12">
        <f>C13/C12-1</f>
        <v>0.0277970813064628</v>
      </c>
      <c r="H13" s="16">
        <f>(E13+F13-C13)/C13</f>
        <v>-0.895199459093982</v>
      </c>
      <c r="I13" s="16"/>
      <c r="J13" s="16"/>
    </row>
    <row r="14" ht="20.05" customHeight="1">
      <c r="B14" s="31"/>
      <c r="C14" s="13">
        <v>156.8</v>
      </c>
      <c r="D14" s="14"/>
      <c r="E14" s="14">
        <v>29.7</v>
      </c>
      <c r="F14" s="18">
        <v>1.9</v>
      </c>
      <c r="G14" s="12">
        <f>C14/C13-1</f>
        <v>0.0601757944557133</v>
      </c>
      <c r="H14" s="16">
        <f>(E14+F14-C14)/C14</f>
        <v>-0.798469387755102</v>
      </c>
      <c r="I14" s="16"/>
      <c r="J14" s="16"/>
    </row>
    <row r="15" ht="20.05" customHeight="1">
      <c r="B15" s="31"/>
      <c r="C15" s="13">
        <v>180.6</v>
      </c>
      <c r="D15" s="14"/>
      <c r="E15" s="14">
        <v>35.3</v>
      </c>
      <c r="F15" s="18">
        <v>4.4</v>
      </c>
      <c r="G15" s="12">
        <f>C15/C14-1</f>
        <v>0.151785714285714</v>
      </c>
      <c r="H15" s="16">
        <f>(E15+F15-C15)/C15</f>
        <v>-0.780177187153931</v>
      </c>
      <c r="I15" s="16"/>
      <c r="J15" s="16"/>
    </row>
    <row r="16" ht="20.05" customHeight="1">
      <c r="B16" s="32">
        <v>2018</v>
      </c>
      <c r="C16" s="13">
        <v>170.5</v>
      </c>
      <c r="D16" s="14"/>
      <c r="E16" s="14">
        <v>32</v>
      </c>
      <c r="F16" s="18">
        <v>6.8</v>
      </c>
      <c r="G16" s="12">
        <f>C16/C15-1</f>
        <v>-0.0559246954595792</v>
      </c>
      <c r="H16" s="16">
        <f>(E16+F16-C16)/C16</f>
        <v>-0.7724340175953081</v>
      </c>
      <c r="I16" s="16">
        <f>AVERAGE(H13:H16)</f>
        <v>-0.811570012899581</v>
      </c>
      <c r="J16" s="16"/>
    </row>
    <row r="17" ht="20.05" customHeight="1">
      <c r="B17" s="31"/>
      <c r="C17" s="13">
        <v>204.2</v>
      </c>
      <c r="D17" s="14"/>
      <c r="E17" s="14">
        <v>33.3</v>
      </c>
      <c r="F17" s="18">
        <v>22.6</v>
      </c>
      <c r="G17" s="12">
        <f>C17/C16-1</f>
        <v>0.197653958944282</v>
      </c>
      <c r="H17" s="16">
        <f>(E17+F17-C17)/C17</f>
        <v>-0.7262487757100879</v>
      </c>
      <c r="I17" s="16">
        <f>AVERAGE(H14:H17)</f>
        <v>-0.769332342053607</v>
      </c>
      <c r="J17" s="16"/>
    </row>
    <row r="18" ht="20.05" customHeight="1">
      <c r="B18" s="31"/>
      <c r="C18" s="13">
        <v>205</v>
      </c>
      <c r="D18" s="14"/>
      <c r="E18" s="14">
        <v>33.2</v>
      </c>
      <c r="F18" s="18">
        <v>25.8</v>
      </c>
      <c r="G18" s="12">
        <f>C18/C17-1</f>
        <v>0.0039177277179236</v>
      </c>
      <c r="H18" s="16">
        <f>(E18+F18-C18)/C18</f>
        <v>-0.71219512195122</v>
      </c>
      <c r="I18" s="16">
        <f>AVERAGE(H15:H18)</f>
        <v>-0.747763775602637</v>
      </c>
      <c r="J18" s="16"/>
    </row>
    <row r="19" ht="20.05" customHeight="1">
      <c r="B19" s="31"/>
      <c r="C19" s="13">
        <v>197.3</v>
      </c>
      <c r="D19" s="14"/>
      <c r="E19" s="14">
        <v>49.4</v>
      </c>
      <c r="F19" s="18">
        <v>5.3</v>
      </c>
      <c r="G19" s="12">
        <f>C19/C18-1</f>
        <v>-0.0375609756097561</v>
      </c>
      <c r="H19" s="16">
        <f>(E19+F19-C19)/C19</f>
        <v>-0.722757222503801</v>
      </c>
      <c r="I19" s="16">
        <f>AVERAGE(H16:H19)</f>
        <v>-0.733408784440104</v>
      </c>
      <c r="J19" s="16"/>
    </row>
    <row r="20" ht="20.05" customHeight="1">
      <c r="B20" s="32">
        <v>2019</v>
      </c>
      <c r="C20" s="13">
        <v>126.4</v>
      </c>
      <c r="D20" s="14"/>
      <c r="E20" s="14">
        <v>31.3</v>
      </c>
      <c r="F20" s="18">
        <v>-20.2</v>
      </c>
      <c r="G20" s="12">
        <f>C20/C19-1</f>
        <v>-0.359351241763811</v>
      </c>
      <c r="H20" s="16">
        <f>(E20+F20-C20)/C20</f>
        <v>-0.912183544303797</v>
      </c>
      <c r="I20" s="16">
        <f>AVERAGE(H17:H20)</f>
        <v>-0.7683461661172269</v>
      </c>
      <c r="J20" s="16"/>
    </row>
    <row r="21" ht="20.05" customHeight="1">
      <c r="B21" s="31"/>
      <c r="C21" s="13">
        <v>166.3</v>
      </c>
      <c r="D21" s="14"/>
      <c r="E21" s="14">
        <v>25</v>
      </c>
      <c r="F21" s="18">
        <v>-6.2</v>
      </c>
      <c r="G21" s="12">
        <f>C21/C20-1</f>
        <v>0.315664556962025</v>
      </c>
      <c r="H21" s="16">
        <f>(E21+F21-C21)/C21</f>
        <v>-0.886951292844257</v>
      </c>
      <c r="I21" s="16">
        <f>AVERAGE(H18:H21)</f>
        <v>-0.808521795400769</v>
      </c>
      <c r="J21" s="16"/>
    </row>
    <row r="22" ht="20.05" customHeight="1">
      <c r="B22" s="31"/>
      <c r="C22" s="13">
        <v>214</v>
      </c>
      <c r="D22" s="14">
        <v>215.25</v>
      </c>
      <c r="E22" s="14">
        <f>96-SUM(E20:E21)</f>
        <v>39.7</v>
      </c>
      <c r="F22" s="18">
        <f>0.16-(-26.18)</f>
        <v>26.34</v>
      </c>
      <c r="G22" s="12">
        <f>C22/C21-1</f>
        <v>0.286831028262177</v>
      </c>
      <c r="H22" s="16">
        <f>(E22+F22-C22)/C22</f>
        <v>-0.691401869158879</v>
      </c>
      <c r="I22" s="16">
        <f>AVERAGE(H19:H22)</f>
        <v>-0.803323482202684</v>
      </c>
      <c r="J22" s="16"/>
    </row>
    <row r="23" ht="20.05" customHeight="1">
      <c r="B23" s="31"/>
      <c r="C23" s="13">
        <f>782-SUM(C20:C22)</f>
        <v>275.3</v>
      </c>
      <c r="D23" s="14">
        <v>226.895</v>
      </c>
      <c r="E23" s="14">
        <f>133-SUM(E20:E22)</f>
        <v>37</v>
      </c>
      <c r="F23" s="18">
        <f>57-SUM(F20:F22)</f>
        <v>57.06</v>
      </c>
      <c r="G23" s="12">
        <f>C23/C22-1</f>
        <v>0.286448598130841</v>
      </c>
      <c r="H23" s="16">
        <f>(E23+F23-C23)/C23</f>
        <v>-0.658336360334181</v>
      </c>
      <c r="I23" s="16">
        <f>AVERAGE(H20:H23)</f>
        <v>-0.7872182666602791</v>
      </c>
      <c r="J23" s="16"/>
    </row>
    <row r="24" ht="20.05" customHeight="1">
      <c r="B24" s="32">
        <v>2020</v>
      </c>
      <c r="C24" s="13">
        <v>174.7</v>
      </c>
      <c r="D24" s="14">
        <v>189.6</v>
      </c>
      <c r="E24" s="14">
        <f>'Balance sheet'!F24-'Balance sheet'!F23</f>
        <v>27</v>
      </c>
      <c r="F24" s="18">
        <v>29</v>
      </c>
      <c r="G24" s="12">
        <f>C24/C23-1</f>
        <v>-0.365419542317472</v>
      </c>
      <c r="H24" s="16">
        <f>(E24+F24-C24)/C24</f>
        <v>-0.679450486548369</v>
      </c>
      <c r="I24" s="16">
        <f>AVERAGE(H21:H24)</f>
        <v>-0.729035002221422</v>
      </c>
      <c r="J24" s="16"/>
    </row>
    <row r="25" ht="20.05" customHeight="1">
      <c r="B25" s="31"/>
      <c r="C25" s="13">
        <f>360-C24</f>
        <v>185.3</v>
      </c>
      <c r="D25" s="14">
        <v>166.3</v>
      </c>
      <c r="E25" s="14">
        <f>71-E24</f>
        <v>44</v>
      </c>
      <c r="F25" s="18">
        <f>53-F24</f>
        <v>24</v>
      </c>
      <c r="G25" s="12">
        <f>C25/C24-1</f>
        <v>0.0606754436176302</v>
      </c>
      <c r="H25" s="16">
        <f>(E25+F25-C25)/C25</f>
        <v>-0.63302752293578</v>
      </c>
      <c r="I25" s="16">
        <f>AVERAGE(H22:H25)</f>
        <v>-0.665554059744302</v>
      </c>
      <c r="J25" s="16"/>
    </row>
    <row r="26" ht="20.05" customHeight="1">
      <c r="B26" s="31"/>
      <c r="C26" s="13">
        <v>211</v>
      </c>
      <c r="D26" s="14">
        <v>220.42</v>
      </c>
      <c r="E26" s="14">
        <v>39</v>
      </c>
      <c r="F26" s="18">
        <v>24</v>
      </c>
      <c r="G26" s="12">
        <f>C26/C25-1</f>
        <v>0.138694009713977</v>
      </c>
      <c r="H26" s="16">
        <f>(E26+F26-C26)/C26</f>
        <v>-0.701421800947867</v>
      </c>
      <c r="I26" s="16">
        <f>AVERAGE(H23:H26)</f>
        <v>-0.668059042691549</v>
      </c>
      <c r="J26" s="16"/>
    </row>
    <row r="27" ht="20.05" customHeight="1">
      <c r="B27" s="31"/>
      <c r="C27" s="13">
        <f>764.744-SUM(C24:C26)</f>
        <v>193.744</v>
      </c>
      <c r="D27" s="14">
        <v>242.65</v>
      </c>
      <c r="E27" s="14">
        <f>149.05-SUM(E24:E26)</f>
        <v>39.05</v>
      </c>
      <c r="F27" s="18">
        <f>82.819-SUM(F24:F26)</f>
        <v>5.819</v>
      </c>
      <c r="G27" s="12">
        <f>C27/C26-1</f>
        <v>-0.08178199052132699</v>
      </c>
      <c r="H27" s="16">
        <f>(E27+F27-C27)/C27</f>
        <v>-0.76841089272442</v>
      </c>
      <c r="I27" s="16">
        <f>AVERAGE(H24:H27)</f>
        <v>-0.695577675789109</v>
      </c>
      <c r="J27" s="16"/>
    </row>
    <row r="28" ht="20.05" customHeight="1">
      <c r="B28" s="32">
        <v>2021</v>
      </c>
      <c r="C28" s="17">
        <v>207</v>
      </c>
      <c r="D28" s="14">
        <v>189.86912</v>
      </c>
      <c r="E28" s="18">
        <v>39</v>
      </c>
      <c r="F28" s="18">
        <v>33.7</v>
      </c>
      <c r="G28" s="12">
        <f>C28/C27-1</f>
        <v>0.0684201833347097</v>
      </c>
      <c r="H28" s="16">
        <f>(E28+F28-C28)/C28</f>
        <v>-0.648792270531401</v>
      </c>
      <c r="I28" s="16">
        <f>AVERAGE(H25:H28)</f>
        <v>-0.687913121784867</v>
      </c>
      <c r="J28" s="16"/>
    </row>
    <row r="29" ht="20.05" customHeight="1">
      <c r="B29" s="31"/>
      <c r="C29" s="13">
        <f>414.9-C28</f>
        <v>207.9</v>
      </c>
      <c r="D29" s="14">
        <v>217.35</v>
      </c>
      <c r="E29" s="18">
        <f>77.6-E28</f>
        <v>38.6</v>
      </c>
      <c r="F29" s="18">
        <f>58.8-F28</f>
        <v>25.1</v>
      </c>
      <c r="G29" s="12">
        <f>C29/C28-1</f>
        <v>0.00434782608695652</v>
      </c>
      <c r="H29" s="16">
        <f>(E29+F29-C29)/C29</f>
        <v>-0.693602693602694</v>
      </c>
      <c r="I29" s="16">
        <f>AVERAGE(H26:H29)</f>
        <v>-0.703056914451596</v>
      </c>
      <c r="J29" s="16"/>
    </row>
    <row r="30" ht="20.05" customHeight="1">
      <c r="B30" s="31"/>
      <c r="C30" s="13">
        <f>686.4-C29-C28</f>
        <v>271.5</v>
      </c>
      <c r="D30" s="14">
        <v>228.69</v>
      </c>
      <c r="E30" s="18">
        <f>118-E29-E28</f>
        <v>40.4</v>
      </c>
      <c r="F30" s="18">
        <v>122.9</v>
      </c>
      <c r="G30" s="12">
        <f>C30/C29-1</f>
        <v>0.305916305916306</v>
      </c>
      <c r="H30" s="16">
        <f>(E30+F30-C30)/C30</f>
        <v>-0.398526703499079</v>
      </c>
      <c r="I30" s="16">
        <f>AVERAGE(H27:H30)</f>
        <v>-0.627333140089399</v>
      </c>
      <c r="J30" s="16"/>
    </row>
    <row r="31" ht="20.05" customHeight="1">
      <c r="B31" s="31"/>
      <c r="C31" s="13">
        <f>953.2-SUM(C28:C30)</f>
        <v>266.8</v>
      </c>
      <c r="D31" s="14">
        <v>312.225</v>
      </c>
      <c r="E31" s="18">
        <f>157.6-SUM(E28:E30)</f>
        <v>39.6</v>
      </c>
      <c r="F31" s="18">
        <f>165.8-SUM(F28:F30)</f>
        <v>-15.9</v>
      </c>
      <c r="G31" s="12">
        <f>C31/C30-1</f>
        <v>-0.0173112338858195</v>
      </c>
      <c r="H31" s="16">
        <f>(E31+F31-C31)/C31</f>
        <v>-0.911169415292354</v>
      </c>
      <c r="I31" s="16">
        <f>AVERAGE(H28:H31)</f>
        <v>-0.663022770731382</v>
      </c>
      <c r="J31" s="16"/>
    </row>
    <row r="32" ht="20.05" customHeight="1">
      <c r="B32" s="32">
        <v>2022</v>
      </c>
      <c r="C32" s="13">
        <v>235.1</v>
      </c>
      <c r="D32" s="14">
        <v>269.468</v>
      </c>
      <c r="E32" s="18">
        <f>39.6+0.3</f>
        <v>39.9</v>
      </c>
      <c r="F32" s="18">
        <v>67.59999999999999</v>
      </c>
      <c r="G32" s="12">
        <f>C32/C31-1</f>
        <v>-0.118815592203898</v>
      </c>
      <c r="H32" s="16">
        <f>(E32+F32-C32)/C32</f>
        <v>-0.542747766907699</v>
      </c>
      <c r="I32" s="16">
        <f>AVERAGE(H29:H32)</f>
        <v>-0.636511644825457</v>
      </c>
      <c r="J32" s="16">
        <v>-0.627333140089399</v>
      </c>
    </row>
    <row r="33" ht="20.05" customHeight="1">
      <c r="B33" s="31"/>
      <c r="C33" s="13"/>
      <c r="D33" s="14">
        <f>'Model'!C6</f>
        <v>246.855</v>
      </c>
      <c r="E33" s="18"/>
      <c r="F33" s="18"/>
      <c r="G33" s="12"/>
      <c r="H33" s="23"/>
      <c r="I33" s="16"/>
      <c r="J33" s="12">
        <f>'Model'!C7</f>
        <v>-0.589629705866578</v>
      </c>
    </row>
    <row r="34" ht="20.05" customHeight="1">
      <c r="B34" s="31"/>
      <c r="C34" s="13"/>
      <c r="D34" s="14">
        <f>'Model'!D6</f>
        <v>259.19775</v>
      </c>
      <c r="E34" s="18"/>
      <c r="F34" s="18"/>
      <c r="G34" s="12"/>
      <c r="H34" s="23"/>
      <c r="I34" s="33"/>
      <c r="J34" s="33"/>
    </row>
    <row r="35" ht="20.05" customHeight="1">
      <c r="B35" s="31"/>
      <c r="C35" s="13"/>
      <c r="D35" s="14">
        <f>'Model'!E6</f>
        <v>266.9736825</v>
      </c>
      <c r="E35" s="18">
        <f>SUM(C22:C32)</f>
        <v>2442.344</v>
      </c>
      <c r="F35" s="18">
        <f>SUM(D22:D32)</f>
        <v>2478.71712</v>
      </c>
      <c r="G35" s="12"/>
      <c r="H35" s="23"/>
      <c r="I35" s="33"/>
      <c r="J35" s="33"/>
    </row>
    <row r="36" ht="20.05" customHeight="1">
      <c r="B36" s="32">
        <v>2023</v>
      </c>
      <c r="C36" s="13"/>
      <c r="D36" s="14">
        <f>'Model'!F6</f>
        <v>266.9736825</v>
      </c>
      <c r="E36" s="18"/>
      <c r="F36" s="18"/>
      <c r="G36" s="12"/>
      <c r="H36" s="23"/>
      <c r="I36" s="33"/>
      <c r="J36" s="33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625" style="34" customWidth="1"/>
    <col min="2" max="2" width="8.1875" style="34" customWidth="1"/>
    <col min="3" max="7" width="10.3125" style="34" customWidth="1"/>
    <col min="8" max="16" width="11.1797" style="34" customWidth="1"/>
    <col min="17" max="16384" width="16.3516" style="34" customWidth="1"/>
  </cols>
  <sheetData>
    <row r="1" ht="16.35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51</v>
      </c>
      <c r="H3" t="s" s="5">
        <v>52</v>
      </c>
      <c r="I3" t="s" s="5">
        <v>14</v>
      </c>
      <c r="J3" t="s" s="5">
        <v>10</v>
      </c>
      <c r="K3" t="s" s="5">
        <v>53</v>
      </c>
      <c r="L3" t="s" s="5">
        <v>3</v>
      </c>
      <c r="M3" t="s" s="5">
        <v>35</v>
      </c>
      <c r="N3" t="s" s="5">
        <v>54</v>
      </c>
      <c r="O3" t="s" s="5">
        <v>35</v>
      </c>
      <c r="P3" s="35"/>
    </row>
    <row r="4" ht="20.25" customHeight="1">
      <c r="B4" s="26">
        <v>2015</v>
      </c>
      <c r="C4" s="36">
        <v>227.602</v>
      </c>
      <c r="D4" s="29">
        <v>-3.2</v>
      </c>
      <c r="E4" s="29"/>
      <c r="F4" s="29">
        <v>78.2</v>
      </c>
      <c r="G4" s="29">
        <v>-30.2</v>
      </c>
      <c r="H4" s="29"/>
      <c r="I4" s="29"/>
      <c r="J4" s="29">
        <v>-21.2</v>
      </c>
      <c r="K4" s="29">
        <f>D4+F4+G4</f>
        <v>44.8</v>
      </c>
      <c r="L4" s="29"/>
      <c r="M4" s="29"/>
      <c r="N4" s="29">
        <f>-(J4-D4)</f>
        <v>18</v>
      </c>
      <c r="O4" s="29"/>
      <c r="P4" s="29">
        <v>1</v>
      </c>
    </row>
    <row r="5" ht="20.05" customHeight="1">
      <c r="B5" s="31"/>
      <c r="C5" s="17">
        <v>184.484</v>
      </c>
      <c r="D5" s="18">
        <v>0</v>
      </c>
      <c r="E5" s="18"/>
      <c r="F5" s="18">
        <v>-18.3</v>
      </c>
      <c r="G5" s="18">
        <v>-26.8</v>
      </c>
      <c r="H5" s="18"/>
      <c r="I5" s="18"/>
      <c r="J5" s="18">
        <v>-12.2</v>
      </c>
      <c r="K5" s="18">
        <f>D5+F5+G5</f>
        <v>-45.1</v>
      </c>
      <c r="L5" s="18"/>
      <c r="M5" s="18"/>
      <c r="N5" s="18">
        <f>-(J5-D5)+N4</f>
        <v>30.2</v>
      </c>
      <c r="O5" s="18"/>
      <c r="P5" s="18">
        <f>1+P4</f>
        <v>2</v>
      </c>
    </row>
    <row r="6" ht="20.05" customHeight="1">
      <c r="B6" s="31"/>
      <c r="C6" s="17">
        <v>216.196</v>
      </c>
      <c r="D6" s="18">
        <v>-2.8</v>
      </c>
      <c r="E6" s="18"/>
      <c r="F6" s="18">
        <v>85.59999999999999</v>
      </c>
      <c r="G6" s="18">
        <v>-27.9</v>
      </c>
      <c r="H6" s="18"/>
      <c r="I6" s="18"/>
      <c r="J6" s="18">
        <v>-9.4</v>
      </c>
      <c r="K6" s="18">
        <f>D6+F6+G6</f>
        <v>54.9</v>
      </c>
      <c r="L6" s="18"/>
      <c r="M6" s="18"/>
      <c r="N6" s="18">
        <f>-(J6-D6)+N5</f>
        <v>36.8</v>
      </c>
      <c r="O6" s="18"/>
      <c r="P6" s="18">
        <f>1+P5</f>
        <v>3</v>
      </c>
    </row>
    <row r="7" ht="20.05" customHeight="1">
      <c r="B7" s="31"/>
      <c r="C7" s="17">
        <v>175.969</v>
      </c>
      <c r="D7" s="18">
        <v>0</v>
      </c>
      <c r="E7" s="18"/>
      <c r="F7" s="18">
        <v>-11.6</v>
      </c>
      <c r="G7" s="18">
        <v>-111.6</v>
      </c>
      <c r="H7" s="18"/>
      <c r="I7" s="18"/>
      <c r="J7" s="18">
        <v>-0.6</v>
      </c>
      <c r="K7" s="18">
        <f>D7+F7+G7</f>
        <v>-123.2</v>
      </c>
      <c r="L7" s="18"/>
      <c r="M7" s="18"/>
      <c r="N7" s="18">
        <f>-(J7-D7)+N6</f>
        <v>37.4</v>
      </c>
      <c r="O7" s="18"/>
      <c r="P7" s="18">
        <f>1+P6</f>
        <v>4</v>
      </c>
    </row>
    <row r="8" ht="20.05" customHeight="1">
      <c r="B8" s="32">
        <v>2016</v>
      </c>
      <c r="C8" s="17">
        <v>139.92</v>
      </c>
      <c r="D8" s="18">
        <v>-2.7</v>
      </c>
      <c r="E8" s="18"/>
      <c r="F8" s="18">
        <v>39.5</v>
      </c>
      <c r="G8" s="18">
        <v>9.1</v>
      </c>
      <c r="H8" s="18"/>
      <c r="I8" s="18"/>
      <c r="J8" s="18">
        <v>-9.300000000000001</v>
      </c>
      <c r="K8" s="18">
        <f>D8+F8+G8</f>
        <v>45.9</v>
      </c>
      <c r="L8" s="18">
        <f>AVERAGE(K5:K8)</f>
        <v>-16.875</v>
      </c>
      <c r="M8" s="18"/>
      <c r="N8" s="18">
        <f>-(J8-D8)+N7</f>
        <v>44</v>
      </c>
      <c r="O8" s="18"/>
      <c r="P8" s="18">
        <f>1+P7</f>
        <v>5</v>
      </c>
    </row>
    <row r="9" ht="20.05" customHeight="1">
      <c r="B9" s="31"/>
      <c r="C9" s="17">
        <v>126.811</v>
      </c>
      <c r="D9" s="18">
        <v>0</v>
      </c>
      <c r="E9" s="18"/>
      <c r="F9" s="18">
        <v>7</v>
      </c>
      <c r="G9" s="18">
        <v>28.3</v>
      </c>
      <c r="H9" s="18"/>
      <c r="I9" s="18"/>
      <c r="J9" s="18">
        <v>-12.2</v>
      </c>
      <c r="K9" s="18">
        <f>D9+F9+G9</f>
        <v>35.3</v>
      </c>
      <c r="L9" s="18">
        <f>AVERAGE(K6:K9)</f>
        <v>3.225</v>
      </c>
      <c r="M9" s="18"/>
      <c r="N9" s="18">
        <f>-(J9-D9)+N8</f>
        <v>56.2</v>
      </c>
      <c r="O9" s="18"/>
      <c r="P9" s="18">
        <f>1+P8</f>
        <v>6</v>
      </c>
    </row>
    <row r="10" ht="20.05" customHeight="1">
      <c r="B10" s="31"/>
      <c r="C10" s="17">
        <v>89.245</v>
      </c>
      <c r="D10" s="18">
        <v>-2.6</v>
      </c>
      <c r="E10" s="18"/>
      <c r="F10" s="18">
        <v>-48.3</v>
      </c>
      <c r="G10" s="18">
        <v>0</v>
      </c>
      <c r="H10" s="18"/>
      <c r="I10" s="18"/>
      <c r="J10" s="18">
        <v>-9.1</v>
      </c>
      <c r="K10" s="18">
        <f>D10+F10+G10</f>
        <v>-50.9</v>
      </c>
      <c r="L10" s="18">
        <f>AVERAGE(K7:K10)</f>
        <v>-23.225</v>
      </c>
      <c r="M10" s="18"/>
      <c r="N10" s="18">
        <f>-(J10-D10)+N9</f>
        <v>62.7</v>
      </c>
      <c r="O10" s="18"/>
      <c r="P10" s="18">
        <f>1+P9</f>
        <v>7</v>
      </c>
    </row>
    <row r="11" ht="20.05" customHeight="1">
      <c r="B11" s="31"/>
      <c r="C11" s="17">
        <v>159.751</v>
      </c>
      <c r="D11" s="18">
        <v>-0.1</v>
      </c>
      <c r="E11" s="18"/>
      <c r="F11" s="18">
        <v>15.2</v>
      </c>
      <c r="G11" s="18">
        <v>-17.5</v>
      </c>
      <c r="H11" s="18"/>
      <c r="I11" s="18"/>
      <c r="J11" s="18">
        <v>-12.2</v>
      </c>
      <c r="K11" s="18">
        <f>D11+F11+G11</f>
        <v>-2.4</v>
      </c>
      <c r="L11" s="18">
        <f>AVERAGE(K8:K11)</f>
        <v>6.975</v>
      </c>
      <c r="M11" s="18"/>
      <c r="N11" s="18">
        <f>-(J11-D11)+N10</f>
        <v>74.8</v>
      </c>
      <c r="O11" s="18"/>
      <c r="P11" s="18">
        <f>1+P10</f>
        <v>8</v>
      </c>
    </row>
    <row r="12" ht="20.05" customHeight="1">
      <c r="B12" s="32">
        <v>2017</v>
      </c>
      <c r="C12" s="17">
        <v>165.134</v>
      </c>
      <c r="D12" s="18">
        <v>-2.4</v>
      </c>
      <c r="E12" s="18"/>
      <c r="F12" s="18">
        <v>77.5</v>
      </c>
      <c r="G12" s="18">
        <v>-18.8</v>
      </c>
      <c r="H12" s="18"/>
      <c r="I12" s="18"/>
      <c r="J12" s="18">
        <v>-8.9</v>
      </c>
      <c r="K12" s="18">
        <f>D12+F12+G12</f>
        <v>56.3</v>
      </c>
      <c r="L12" s="18">
        <f>AVERAGE(K9:K12)</f>
        <v>9.574999999999999</v>
      </c>
      <c r="M12" s="18"/>
      <c r="N12" s="18">
        <f>-(J12-D12)+N11</f>
        <v>81.3</v>
      </c>
      <c r="O12" s="18"/>
      <c r="P12" s="18">
        <f>1+P11</f>
        <v>9</v>
      </c>
    </row>
    <row r="13" ht="20.05" customHeight="1">
      <c r="B13" s="31"/>
      <c r="C13" s="17">
        <v>143.5</v>
      </c>
      <c r="D13" s="18">
        <v>0</v>
      </c>
      <c r="E13" s="18"/>
      <c r="F13" s="18">
        <v>49.2</v>
      </c>
      <c r="G13" s="18">
        <v>-11.8</v>
      </c>
      <c r="H13" s="18"/>
      <c r="I13" s="18"/>
      <c r="J13" s="18">
        <v>-12.1</v>
      </c>
      <c r="K13" s="18">
        <f>D13+F13+G13</f>
        <v>37.4</v>
      </c>
      <c r="L13" s="18">
        <f>AVERAGE(K10:K13)</f>
        <v>10.1</v>
      </c>
      <c r="M13" s="18"/>
      <c r="N13" s="18">
        <f>-(J13-D13)+N12</f>
        <v>93.40000000000001</v>
      </c>
      <c r="O13" s="18"/>
      <c r="P13" s="18">
        <f>1+P12</f>
        <v>10</v>
      </c>
    </row>
    <row r="14" ht="20.05" customHeight="1">
      <c r="B14" s="31"/>
      <c r="C14" s="17">
        <v>147.01</v>
      </c>
      <c r="D14" s="18">
        <v>-2.1</v>
      </c>
      <c r="E14" s="18"/>
      <c r="F14" s="18">
        <v>1.6</v>
      </c>
      <c r="G14" s="18">
        <v>-16.9</v>
      </c>
      <c r="H14" s="18"/>
      <c r="I14" s="18"/>
      <c r="J14" s="18">
        <v>-8.800000000000001</v>
      </c>
      <c r="K14" s="18">
        <f>D14+F14+G14</f>
        <v>-17.4</v>
      </c>
      <c r="L14" s="18">
        <f>AVERAGE(K11:K14)</f>
        <v>18.475</v>
      </c>
      <c r="M14" s="18"/>
      <c r="N14" s="18">
        <f>-(J14-D14)+N13</f>
        <v>100.1</v>
      </c>
      <c r="O14" s="18"/>
      <c r="P14" s="18">
        <f>1+P13</f>
        <v>11</v>
      </c>
    </row>
    <row r="15" ht="20.05" customHeight="1">
      <c r="B15" s="31"/>
      <c r="C15" s="17">
        <v>154.729</v>
      </c>
      <c r="D15" s="18">
        <v>0</v>
      </c>
      <c r="E15" s="18"/>
      <c r="F15" s="18">
        <v>24.3</v>
      </c>
      <c r="G15" s="18">
        <v>-27.1</v>
      </c>
      <c r="H15" s="18"/>
      <c r="I15" s="18"/>
      <c r="J15" s="18">
        <v>-11.9</v>
      </c>
      <c r="K15" s="18">
        <f>D15+F15+G15</f>
        <v>-2.8</v>
      </c>
      <c r="L15" s="18">
        <f>AVERAGE(K12:K15)</f>
        <v>18.375</v>
      </c>
      <c r="M15" s="18"/>
      <c r="N15" s="18">
        <f>-(J15-D15)+N14</f>
        <v>112</v>
      </c>
      <c r="O15" s="18"/>
      <c r="P15" s="18">
        <f>1+P14</f>
        <v>12</v>
      </c>
    </row>
    <row r="16" ht="20.05" customHeight="1">
      <c r="B16" s="32">
        <v>2018</v>
      </c>
      <c r="C16" s="17">
        <v>183.553</v>
      </c>
      <c r="D16" s="18">
        <v>-1.7</v>
      </c>
      <c r="E16" s="18"/>
      <c r="F16" s="18">
        <v>-18.6</v>
      </c>
      <c r="G16" s="18">
        <v>-16.5</v>
      </c>
      <c r="H16" s="18"/>
      <c r="I16" s="18"/>
      <c r="J16" s="18">
        <v>-8.5</v>
      </c>
      <c r="K16" s="18">
        <f>D16+F16+G16</f>
        <v>-36.8</v>
      </c>
      <c r="L16" s="18">
        <f>AVERAGE(K13:K16)</f>
        <v>-4.9</v>
      </c>
      <c r="M16" s="18"/>
      <c r="N16" s="18">
        <f>-(J16-D16)+N15</f>
        <v>118.8</v>
      </c>
      <c r="O16" s="18"/>
      <c r="P16" s="18">
        <f>1+P15</f>
        <v>13</v>
      </c>
    </row>
    <row r="17" ht="20.05" customHeight="1">
      <c r="B17" s="31"/>
      <c r="C17" s="17">
        <v>174.455</v>
      </c>
      <c r="D17" s="18">
        <v>0</v>
      </c>
      <c r="E17" s="18"/>
      <c r="F17" s="18">
        <v>33.4</v>
      </c>
      <c r="G17" s="18">
        <v>-13.2</v>
      </c>
      <c r="H17" s="18"/>
      <c r="I17" s="18"/>
      <c r="J17" s="18">
        <v>-11.9</v>
      </c>
      <c r="K17" s="18">
        <f>D17+F17+G17</f>
        <v>20.2</v>
      </c>
      <c r="L17" s="18">
        <f>AVERAGE(K14:K17)</f>
        <v>-9.199999999999999</v>
      </c>
      <c r="M17" s="18"/>
      <c r="N17" s="18">
        <f>-(J17-D17)+N16</f>
        <v>130.7</v>
      </c>
      <c r="O17" s="18"/>
      <c r="P17" s="18">
        <f>1+P16</f>
        <v>14</v>
      </c>
    </row>
    <row r="18" ht="20.05" customHeight="1">
      <c r="B18" s="31"/>
      <c r="C18" s="17">
        <v>229.627</v>
      </c>
      <c r="D18" s="18">
        <v>-1.5</v>
      </c>
      <c r="E18" s="18"/>
      <c r="F18" s="18">
        <v>116.7</v>
      </c>
      <c r="G18" s="18">
        <v>-27.8</v>
      </c>
      <c r="H18" s="18"/>
      <c r="I18" s="18"/>
      <c r="J18" s="18">
        <v>-8.300000000000001</v>
      </c>
      <c r="K18" s="18">
        <f>D18+F18+G18</f>
        <v>87.40000000000001</v>
      </c>
      <c r="L18" s="18">
        <f>AVERAGE(K15:K18)</f>
        <v>17</v>
      </c>
      <c r="M18" s="18"/>
      <c r="N18" s="18">
        <f>-(J18-D18)+N17</f>
        <v>137.5</v>
      </c>
      <c r="O18" s="18"/>
      <c r="P18" s="18">
        <f>1+P17</f>
        <v>15</v>
      </c>
    </row>
    <row r="19" ht="20.05" customHeight="1">
      <c r="B19" s="31"/>
      <c r="C19" s="17">
        <v>230.594</v>
      </c>
      <c r="D19" s="18">
        <v>0</v>
      </c>
      <c r="E19" s="18"/>
      <c r="F19" s="18">
        <v>72.90000000000001</v>
      </c>
      <c r="G19" s="18">
        <v>-26.3</v>
      </c>
      <c r="H19" s="18"/>
      <c r="I19" s="18"/>
      <c r="J19" s="18">
        <v>-11.7</v>
      </c>
      <c r="K19" s="18">
        <f>D19+F19+G19</f>
        <v>46.6</v>
      </c>
      <c r="L19" s="18">
        <f>AVERAGE(K16:K19)</f>
        <v>29.35</v>
      </c>
      <c r="M19" s="18"/>
      <c r="N19" s="18">
        <f>-(J19-D19)+N18</f>
        <v>149.2</v>
      </c>
      <c r="O19" s="18"/>
      <c r="P19" s="18">
        <f>1+P18</f>
        <v>16</v>
      </c>
    </row>
    <row r="20" ht="20.05" customHeight="1">
      <c r="B20" s="32">
        <v>2019</v>
      </c>
      <c r="C20" s="17">
        <v>168.335</v>
      </c>
      <c r="D20" s="18">
        <v>-1</v>
      </c>
      <c r="E20" s="18"/>
      <c r="F20" s="18">
        <v>-27.5</v>
      </c>
      <c r="G20" s="18">
        <v>-50.2</v>
      </c>
      <c r="H20" s="18"/>
      <c r="I20" s="18"/>
      <c r="J20" s="18">
        <v>-4.2</v>
      </c>
      <c r="K20" s="18">
        <f>D20+F20+G20</f>
        <v>-78.7</v>
      </c>
      <c r="L20" s="18">
        <f>AVERAGE(K17:K20)</f>
        <v>18.875</v>
      </c>
      <c r="M20" s="18"/>
      <c r="N20" s="18">
        <f>-(J20-D20)+N19</f>
        <v>152.4</v>
      </c>
      <c r="O20" s="18"/>
      <c r="P20" s="18">
        <f>1+P19</f>
        <v>17</v>
      </c>
    </row>
    <row r="21" ht="20.05" customHeight="1">
      <c r="B21" s="31"/>
      <c r="C21" s="17">
        <v>114.763</v>
      </c>
      <c r="D21" s="18">
        <v>-0.2</v>
      </c>
      <c r="E21" s="18"/>
      <c r="F21" s="18">
        <v>-46.5</v>
      </c>
      <c r="G21" s="18">
        <v>-42.2</v>
      </c>
      <c r="H21" s="18"/>
      <c r="I21" s="18"/>
      <c r="J21" s="18">
        <v>-19.1</v>
      </c>
      <c r="K21" s="18">
        <f>D21+F21+G21</f>
        <v>-88.90000000000001</v>
      </c>
      <c r="L21" s="18">
        <f>AVERAGE(K18:K21)</f>
        <v>-8.4</v>
      </c>
      <c r="M21" s="18"/>
      <c r="N21" s="18">
        <f>-(J21-D21)+N20</f>
        <v>171.3</v>
      </c>
      <c r="O21" s="18"/>
      <c r="P21" s="18">
        <f>1+P20</f>
        <v>18</v>
      </c>
    </row>
    <row r="22" ht="20.05" customHeight="1">
      <c r="B22" s="31"/>
      <c r="C22" s="17">
        <v>261.902</v>
      </c>
      <c r="D22" s="18">
        <v>0</v>
      </c>
      <c r="E22" s="18"/>
      <c r="F22" s="18">
        <v>107</v>
      </c>
      <c r="G22" s="18">
        <v>-16.6</v>
      </c>
      <c r="H22" s="18"/>
      <c r="I22" s="18"/>
      <c r="J22" s="18">
        <v>-0.627</v>
      </c>
      <c r="K22" s="18">
        <f>D22+F22+G22</f>
        <v>90.40000000000001</v>
      </c>
      <c r="L22" s="18">
        <f>AVERAGE(K19:K22)</f>
        <v>-7.65</v>
      </c>
      <c r="M22" s="18"/>
      <c r="N22" s="18">
        <f>-(J22-D22)+N21</f>
        <v>171.927</v>
      </c>
      <c r="O22" s="18"/>
      <c r="P22" s="18">
        <f>1+P21</f>
        <v>19</v>
      </c>
    </row>
    <row r="23" ht="20.05" customHeight="1">
      <c r="B23" s="31"/>
      <c r="C23" s="17">
        <v>253.965</v>
      </c>
      <c r="D23" s="18">
        <v>-0.1</v>
      </c>
      <c r="E23" s="18"/>
      <c r="F23" s="18">
        <v>105</v>
      </c>
      <c r="G23" s="18">
        <v>-57</v>
      </c>
      <c r="H23" s="18"/>
      <c r="I23" s="18"/>
      <c r="J23" s="18">
        <v>0</v>
      </c>
      <c r="K23" s="18">
        <f>D23+F23+G23</f>
        <v>47.9</v>
      </c>
      <c r="L23" s="18">
        <f>AVERAGE(K20:K23)</f>
        <v>-7.325</v>
      </c>
      <c r="M23" s="18"/>
      <c r="N23" s="18">
        <f>-(J23-D23)+N22</f>
        <v>171.827</v>
      </c>
      <c r="O23" s="18"/>
      <c r="P23" s="18">
        <f>1+P22</f>
        <v>20</v>
      </c>
    </row>
    <row r="24" ht="20.05" customHeight="1">
      <c r="B24" s="32">
        <v>2020</v>
      </c>
      <c r="C24" s="17">
        <v>225.257</v>
      </c>
      <c r="D24" s="18">
        <v>0</v>
      </c>
      <c r="E24" s="18"/>
      <c r="F24" s="18">
        <v>78.59999999999999</v>
      </c>
      <c r="G24" s="18">
        <v>-33</v>
      </c>
      <c r="H24" s="18"/>
      <c r="I24" s="18"/>
      <c r="J24" s="18">
        <v>-0.3</v>
      </c>
      <c r="K24" s="18">
        <f>D24+F24+G24</f>
        <v>45.6</v>
      </c>
      <c r="L24" s="18">
        <f>AVERAGE(K21:K24)</f>
        <v>23.75</v>
      </c>
      <c r="M24" s="18"/>
      <c r="N24" s="18">
        <f>-(J24-D24)+N23</f>
        <v>172.127</v>
      </c>
      <c r="O24" s="18"/>
      <c r="P24" s="18">
        <f>1+P23</f>
        <v>21</v>
      </c>
    </row>
    <row r="25" ht="20.05" customHeight="1">
      <c r="B25" s="31"/>
      <c r="C25" s="17">
        <v>157.392</v>
      </c>
      <c r="D25" s="18">
        <v>0</v>
      </c>
      <c r="E25" s="18"/>
      <c r="F25" s="18">
        <v>39.4</v>
      </c>
      <c r="G25" s="18">
        <v>-44</v>
      </c>
      <c r="H25" s="18"/>
      <c r="I25" s="18"/>
      <c r="J25" s="18">
        <v>-0.522</v>
      </c>
      <c r="K25" s="18">
        <f>D25+F25+G25</f>
        <v>-4.6</v>
      </c>
      <c r="L25" s="18">
        <f>AVERAGE(K22:K25)</f>
        <v>44.825</v>
      </c>
      <c r="M25" s="18"/>
      <c r="N25" s="18">
        <f>-(J25-D25)+N24</f>
        <v>172.649</v>
      </c>
      <c r="O25" s="18"/>
      <c r="P25" s="18">
        <f>1+P24</f>
        <v>22</v>
      </c>
    </row>
    <row r="26" ht="20.05" customHeight="1">
      <c r="B26" s="31"/>
      <c r="C26" s="17">
        <v>215.351</v>
      </c>
      <c r="D26" s="18">
        <v>0</v>
      </c>
      <c r="E26" s="18"/>
      <c r="F26" s="18">
        <v>98</v>
      </c>
      <c r="G26" s="18">
        <v>-27</v>
      </c>
      <c r="H26" s="18"/>
      <c r="I26" s="18"/>
      <c r="J26" s="18">
        <v>0.822</v>
      </c>
      <c r="K26" s="18">
        <f>D26+F26+G26</f>
        <v>71</v>
      </c>
      <c r="L26" s="18">
        <f>AVERAGE(K23:K26)</f>
        <v>39.975</v>
      </c>
      <c r="M26" s="18"/>
      <c r="N26" s="18">
        <f>-(J26-D26)+N25</f>
        <v>171.827</v>
      </c>
      <c r="O26" s="18"/>
      <c r="P26" s="18">
        <f>1+P25</f>
        <v>23</v>
      </c>
    </row>
    <row r="27" ht="20.05" customHeight="1">
      <c r="B27" s="31"/>
      <c r="C27" s="17">
        <v>213.999</v>
      </c>
      <c r="D27" s="18">
        <f>-0.174-SUM(D24:D26)</f>
        <v>-0.174</v>
      </c>
      <c r="E27" s="18"/>
      <c r="F27" s="18">
        <f>292.377-SUM(F24:F26)</f>
        <v>76.377</v>
      </c>
      <c r="G27" s="18">
        <f>-150.837-SUM(G24:G26)</f>
        <v>-46.837</v>
      </c>
      <c r="H27" s="18">
        <v>0</v>
      </c>
      <c r="I27" s="18">
        <f>0</f>
        <v>0</v>
      </c>
      <c r="J27" s="18">
        <f>-1.676-SUM(J24:J26)</f>
        <v>-1.676</v>
      </c>
      <c r="K27" s="18">
        <f>D27+F27+G27</f>
        <v>29.366</v>
      </c>
      <c r="L27" s="18">
        <f>AVERAGE(K24:K27)</f>
        <v>35.3415</v>
      </c>
      <c r="M27" s="18"/>
      <c r="N27" s="18">
        <f>-(J27-D27)+N26</f>
        <v>173.329</v>
      </c>
      <c r="O27" s="18"/>
      <c r="P27" s="18">
        <f>1+P26</f>
        <v>24</v>
      </c>
    </row>
    <row r="28" ht="20.05" customHeight="1">
      <c r="B28" s="32">
        <v>2021</v>
      </c>
      <c r="C28" s="17">
        <v>186</v>
      </c>
      <c r="D28" s="18">
        <v>-2.7</v>
      </c>
      <c r="E28" s="18">
        <v>2.7</v>
      </c>
      <c r="F28" s="18">
        <v>39.1</v>
      </c>
      <c r="G28" s="18">
        <v>-38.5</v>
      </c>
      <c r="H28" s="18"/>
      <c r="I28" s="18"/>
      <c r="J28" s="18">
        <v>-2.7</v>
      </c>
      <c r="K28" s="18">
        <f>D28+F28+G28</f>
        <v>-2.1</v>
      </c>
      <c r="L28" s="18">
        <f>AVERAGE(K25:K28)</f>
        <v>23.4165</v>
      </c>
      <c r="M28" s="18"/>
      <c r="N28" s="18">
        <f>-(J28-D28)+N27</f>
        <v>173.329</v>
      </c>
      <c r="O28" s="18"/>
      <c r="P28" s="18">
        <f>1+P27</f>
        <v>25</v>
      </c>
    </row>
    <row r="29" ht="20.05" customHeight="1">
      <c r="B29" s="31"/>
      <c r="C29" s="17">
        <f>409.4-C28</f>
        <v>223.4</v>
      </c>
      <c r="D29" s="18">
        <f>-0.7-D28</f>
        <v>2</v>
      </c>
      <c r="E29" s="18"/>
      <c r="F29" s="18">
        <f>143.8-F28</f>
        <v>104.7</v>
      </c>
      <c r="G29" s="18">
        <f>-71.7-G28</f>
        <v>-33.2</v>
      </c>
      <c r="H29" s="18"/>
      <c r="I29" s="18">
        <v>-33</v>
      </c>
      <c r="J29" s="18">
        <f>-33.8-J28</f>
        <v>-31.1</v>
      </c>
      <c r="K29" s="18">
        <f>D29+F29+G29</f>
        <v>73.5</v>
      </c>
      <c r="L29" s="18">
        <f>AVERAGE(K26:K29)</f>
        <v>42.9415</v>
      </c>
      <c r="M29" s="18"/>
      <c r="N29" s="18">
        <f>-(J29-D29)+N28</f>
        <v>206.429</v>
      </c>
      <c r="O29" s="18"/>
      <c r="P29" s="18">
        <f>1+P28</f>
        <v>26</v>
      </c>
    </row>
    <row r="30" ht="20.05" customHeight="1">
      <c r="B30" s="31"/>
      <c r="C30" s="17">
        <f>636.8-C29-C28</f>
        <v>227.4</v>
      </c>
      <c r="D30" s="18">
        <f>0-D29-D28</f>
        <v>0.7</v>
      </c>
      <c r="E30" s="18"/>
      <c r="F30" s="18">
        <f>215.2-F29-F28</f>
        <v>71.40000000000001</v>
      </c>
      <c r="G30" s="18">
        <f>-99.9-G29-G28</f>
        <v>-28.2</v>
      </c>
      <c r="H30" s="18"/>
      <c r="I30" s="18">
        <v>0</v>
      </c>
      <c r="J30" s="18">
        <f>-34.2-J29-J28</f>
        <v>-0.4</v>
      </c>
      <c r="K30" s="18">
        <f>D30+F30+G30</f>
        <v>43.9</v>
      </c>
      <c r="L30" s="18">
        <f>AVERAGE(K27:K30)</f>
        <v>36.1665</v>
      </c>
      <c r="M30" s="18"/>
      <c r="N30" s="18">
        <f>-(J30-D30)+N29</f>
        <v>207.529</v>
      </c>
      <c r="O30" s="18"/>
      <c r="P30" s="18">
        <f>1+P29</f>
        <v>27</v>
      </c>
    </row>
    <row r="31" ht="20.05" customHeight="1">
      <c r="B31" s="31"/>
      <c r="C31" s="17">
        <f>911.2-SUM(C28:C30)</f>
        <v>274.4</v>
      </c>
      <c r="D31" s="18">
        <f>-0.1-SUM(D28:D30)</f>
        <v>-0.1</v>
      </c>
      <c r="E31" s="18"/>
      <c r="F31" s="18">
        <f>334.6-SUM(F28:F30)</f>
        <v>119.4</v>
      </c>
      <c r="G31" s="18">
        <f>-180.2-SUM(G28:G30)</f>
        <v>-80.3</v>
      </c>
      <c r="H31" s="18">
        <v>0</v>
      </c>
      <c r="I31" s="18">
        <f>-33.1-SUM(I28:I30)</f>
        <v>-0.1</v>
      </c>
      <c r="J31" s="18">
        <f>-34.5-SUM(J28:J30)</f>
        <v>-0.3</v>
      </c>
      <c r="K31" s="18">
        <f>D31+F31+G31</f>
        <v>39</v>
      </c>
      <c r="L31" s="18">
        <f>AVERAGE(K28:K31)</f>
        <v>38.575</v>
      </c>
      <c r="M31" s="18"/>
      <c r="N31" s="18">
        <f>-(J31-D31)+N30</f>
        <v>207.729</v>
      </c>
      <c r="O31" s="18"/>
      <c r="P31" s="18">
        <f>1+P30</f>
        <v>28</v>
      </c>
    </row>
    <row r="32" ht="20.05" customHeight="1">
      <c r="B32" s="32">
        <v>2022</v>
      </c>
      <c r="C32" s="17">
        <v>249</v>
      </c>
      <c r="D32" s="18">
        <v>-0.02</v>
      </c>
      <c r="E32" s="18">
        <v>-0.3</v>
      </c>
      <c r="F32" s="18">
        <v>52.9</v>
      </c>
      <c r="G32" s="37">
        <v>-42.3</v>
      </c>
      <c r="H32" s="18">
        <v>0</v>
      </c>
      <c r="I32" s="18">
        <v>0</v>
      </c>
      <c r="J32" s="18">
        <v>-0.3</v>
      </c>
      <c r="K32" s="18">
        <f>D32+F32+G32</f>
        <v>10.58</v>
      </c>
      <c r="L32" s="18">
        <f>AVERAGE(K29:K32)</f>
        <v>41.745</v>
      </c>
      <c r="M32" s="18">
        <v>63.618230237336</v>
      </c>
      <c r="N32" s="18">
        <f>-(J32-D32)+N31</f>
        <v>208.009</v>
      </c>
      <c r="O32" s="18">
        <v>444.552389070997</v>
      </c>
      <c r="P32" s="18">
        <f>1+P31</f>
        <v>29</v>
      </c>
    </row>
    <row r="33" ht="20.05" customHeight="1">
      <c r="B33" s="31"/>
      <c r="C33" s="17"/>
      <c r="D33" s="18"/>
      <c r="E33" s="18"/>
      <c r="F33" s="18"/>
      <c r="G33" s="23"/>
      <c r="H33" s="18"/>
      <c r="I33" s="18"/>
      <c r="J33" s="18"/>
      <c r="K33" s="18"/>
      <c r="L33" s="23"/>
      <c r="M33" s="18">
        <f>SUM('Model'!F9:F10)</f>
        <v>67.258068613408</v>
      </c>
      <c r="N33" s="23"/>
      <c r="O33" s="18">
        <f>'Model'!F34</f>
        <v>465.594153091343</v>
      </c>
      <c r="P33" s="18"/>
    </row>
  </sheetData>
  <mergeCells count="1">
    <mergeCell ref="B2:P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8" customWidth="1"/>
    <col min="2" max="2" width="10.3672" style="38" customWidth="1"/>
    <col min="3" max="11" width="10.5078" style="38" customWidth="1"/>
    <col min="12" max="16384" width="16.3516" style="38" customWidth="1"/>
  </cols>
  <sheetData>
    <row r="1" ht="10" customHeight="1"/>
    <row r="2" ht="27.65" customHeight="1">
      <c r="B2" t="s" s="2">
        <v>55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56</v>
      </c>
      <c r="D3" t="s" s="5">
        <v>57</v>
      </c>
      <c r="E3" t="s" s="5">
        <v>23</v>
      </c>
      <c r="F3" t="s" s="5">
        <v>24</v>
      </c>
      <c r="G3" t="s" s="5">
        <v>11</v>
      </c>
      <c r="H3" t="s" s="5">
        <v>58</v>
      </c>
      <c r="I3" t="s" s="5">
        <v>59</v>
      </c>
      <c r="J3" t="s" s="5">
        <v>27</v>
      </c>
      <c r="K3" t="s" s="5">
        <v>35</v>
      </c>
    </row>
    <row r="4" ht="20.25" customHeight="1">
      <c r="B4" s="26">
        <v>2015</v>
      </c>
      <c r="C4" s="36">
        <v>328.2</v>
      </c>
      <c r="D4" s="29">
        <v>2334.5</v>
      </c>
      <c r="E4" s="29">
        <f>D4-C4</f>
        <v>2006.3</v>
      </c>
      <c r="F4" s="29"/>
      <c r="G4" s="29">
        <v>524.7</v>
      </c>
      <c r="H4" s="29">
        <v>1809.8</v>
      </c>
      <c r="I4" s="29">
        <f>G4+H4-C4-E4</f>
        <v>0</v>
      </c>
      <c r="J4" s="29">
        <f>C4-G4</f>
        <v>-196.5</v>
      </c>
      <c r="K4" s="29"/>
    </row>
    <row r="5" ht="20.05" customHeight="1">
      <c r="B5" s="31"/>
      <c r="C5" s="17">
        <v>270.1</v>
      </c>
      <c r="D5" s="18">
        <v>2290.3</v>
      </c>
      <c r="E5" s="18">
        <f>D5-C5</f>
        <v>2020.2</v>
      </c>
      <c r="F5" s="18"/>
      <c r="G5" s="18">
        <v>463.6</v>
      </c>
      <c r="H5" s="18">
        <v>1827</v>
      </c>
      <c r="I5" s="18">
        <f>G5+H5-C5-E5</f>
        <v>0.3</v>
      </c>
      <c r="J5" s="18">
        <f>C5-G5</f>
        <v>-193.5</v>
      </c>
      <c r="K5" s="18"/>
    </row>
    <row r="6" ht="20.05" customHeight="1">
      <c r="B6" s="31"/>
      <c r="C6" s="17">
        <v>318.5</v>
      </c>
      <c r="D6" s="18">
        <v>2283.7</v>
      </c>
      <c r="E6" s="18">
        <f>D6-C6</f>
        <v>1965.2</v>
      </c>
      <c r="F6" s="18"/>
      <c r="G6" s="18">
        <v>446.7</v>
      </c>
      <c r="H6" s="18">
        <v>1837.2</v>
      </c>
      <c r="I6" s="18">
        <f>G6+H6-C6-E6</f>
        <v>0.2</v>
      </c>
      <c r="J6" s="18">
        <f>C6-G6</f>
        <v>-128.2</v>
      </c>
      <c r="K6" s="18"/>
    </row>
    <row r="7" ht="20.05" customHeight="1">
      <c r="B7" s="31"/>
      <c r="C7" s="17">
        <v>194.8</v>
      </c>
      <c r="D7" s="18">
        <v>2289.2</v>
      </c>
      <c r="E7" s="18">
        <f>D7-C7</f>
        <v>2094.4</v>
      </c>
      <c r="F7" s="18"/>
      <c r="G7" s="18">
        <v>455.2</v>
      </c>
      <c r="H7" s="18">
        <v>1834</v>
      </c>
      <c r="I7" s="18">
        <f>G7+H7-C7-E7</f>
        <v>0</v>
      </c>
      <c r="J7" s="18">
        <f>C7-G7</f>
        <v>-260.4</v>
      </c>
      <c r="K7" s="18"/>
    </row>
    <row r="8" ht="20.05" customHeight="1">
      <c r="B8" s="32">
        <v>2016</v>
      </c>
      <c r="C8" s="17">
        <v>232.3</v>
      </c>
      <c r="D8" s="18">
        <v>2222.1</v>
      </c>
      <c r="E8" s="18">
        <f>D8-C8</f>
        <v>1989.8</v>
      </c>
      <c r="F8" s="18"/>
      <c r="G8" s="18">
        <v>403.5</v>
      </c>
      <c r="H8" s="18">
        <v>1818.5</v>
      </c>
      <c r="I8" s="18">
        <f>G8+H8-C8-E8</f>
        <v>-0.1</v>
      </c>
      <c r="J8" s="18">
        <f>C8-G8</f>
        <v>-171.2</v>
      </c>
      <c r="K8" s="18"/>
    </row>
    <row r="9" ht="20.05" customHeight="1">
      <c r="B9" s="31"/>
      <c r="C9" s="17">
        <v>257.5</v>
      </c>
      <c r="D9" s="18">
        <v>2217</v>
      </c>
      <c r="E9" s="18">
        <f>D9-C9</f>
        <v>1959.5</v>
      </c>
      <c r="F9" s="18"/>
      <c r="G9" s="18">
        <v>402.8</v>
      </c>
      <c r="H9" s="18">
        <v>1813.9</v>
      </c>
      <c r="I9" s="18">
        <f>G9+H9-C9-E9</f>
        <v>-0.3</v>
      </c>
      <c r="J9" s="18">
        <f>C9-G9</f>
        <v>-145.3</v>
      </c>
      <c r="K9" s="18"/>
    </row>
    <row r="10" ht="20.05" customHeight="1">
      <c r="B10" s="31"/>
      <c r="C10" s="17">
        <v>200.4</v>
      </c>
      <c r="D10" s="18">
        <v>2215.7</v>
      </c>
      <c r="E10" s="18">
        <f>D10-C10</f>
        <v>2015.3</v>
      </c>
      <c r="F10" s="18"/>
      <c r="G10" s="18">
        <v>388.8</v>
      </c>
      <c r="H10" s="18">
        <v>1827</v>
      </c>
      <c r="I10" s="18">
        <f>G10+H10-C10-E10</f>
        <v>0.1</v>
      </c>
      <c r="J10" s="18">
        <f>C10-G10</f>
        <v>-188.4</v>
      </c>
      <c r="K10" s="18"/>
    </row>
    <row r="11" ht="20.05" customHeight="1">
      <c r="B11" s="31"/>
      <c r="C11" s="17">
        <v>185.6</v>
      </c>
      <c r="D11" s="18">
        <v>2225.5</v>
      </c>
      <c r="E11" s="18">
        <f>D11-C11</f>
        <v>2039.9</v>
      </c>
      <c r="F11" s="18"/>
      <c r="G11" s="18">
        <v>390.9</v>
      </c>
      <c r="H11" s="18">
        <v>1834.6</v>
      </c>
      <c r="I11" s="18">
        <f>G11+H11-C11-E11</f>
        <v>0</v>
      </c>
      <c r="J11" s="18">
        <f>C11-G11</f>
        <v>-205.3</v>
      </c>
      <c r="K11" s="18"/>
    </row>
    <row r="12" ht="20.05" customHeight="1">
      <c r="B12" s="32">
        <v>2017</v>
      </c>
      <c r="C12" s="17">
        <v>235.5</v>
      </c>
      <c r="D12" s="18">
        <v>2193.5</v>
      </c>
      <c r="E12" s="18">
        <f>D12-C12</f>
        <v>1958</v>
      </c>
      <c r="F12" s="18"/>
      <c r="G12" s="18">
        <v>365.2</v>
      </c>
      <c r="H12" s="18">
        <v>1828.3</v>
      </c>
      <c r="I12" s="18">
        <f>G12+H12-C12-E12</f>
        <v>0</v>
      </c>
      <c r="J12" s="18">
        <f>C12-G12</f>
        <v>-129.7</v>
      </c>
      <c r="K12" s="18"/>
    </row>
    <row r="13" ht="20.05" customHeight="1">
      <c r="B13" s="31"/>
      <c r="C13" s="17">
        <v>260.7</v>
      </c>
      <c r="D13" s="18">
        <v>2169.4</v>
      </c>
      <c r="E13" s="18">
        <f>D13-C13</f>
        <v>1908.7</v>
      </c>
      <c r="F13" s="18"/>
      <c r="G13" s="18">
        <v>356.5</v>
      </c>
      <c r="H13" s="18">
        <v>1812.9</v>
      </c>
      <c r="I13" s="18">
        <f>G13+H13-C13-E13</f>
        <v>0</v>
      </c>
      <c r="J13" s="18">
        <f>C13-G13</f>
        <v>-95.8</v>
      </c>
      <c r="K13" s="18"/>
    </row>
    <row r="14" ht="20.05" customHeight="1">
      <c r="B14" s="31"/>
      <c r="C14" s="17">
        <v>236.6</v>
      </c>
      <c r="D14" s="18">
        <v>2162.6</v>
      </c>
      <c r="E14" s="18">
        <f>D14-C14</f>
        <v>1926</v>
      </c>
      <c r="F14" s="18"/>
      <c r="G14" s="18">
        <v>347.9</v>
      </c>
      <c r="H14" s="18">
        <v>1814.8</v>
      </c>
      <c r="I14" s="18">
        <f>G14+H14-C14-E14</f>
        <v>0.1</v>
      </c>
      <c r="J14" s="18">
        <f>C14-G14</f>
        <v>-111.3</v>
      </c>
      <c r="K14" s="18"/>
    </row>
    <row r="15" ht="20.05" customHeight="1">
      <c r="B15" s="31"/>
      <c r="C15" s="17">
        <v>221.7</v>
      </c>
      <c r="D15" s="18">
        <v>2184.6</v>
      </c>
      <c r="E15" s="18">
        <f>D15-C15</f>
        <v>1962.9</v>
      </c>
      <c r="F15" s="18"/>
      <c r="G15" s="18">
        <v>365.2</v>
      </c>
      <c r="H15" s="18">
        <v>1819.4</v>
      </c>
      <c r="I15" s="18">
        <f>G15+H15-C15-E15</f>
        <v>0</v>
      </c>
      <c r="J15" s="18">
        <f>C15-G15</f>
        <v>-143.5</v>
      </c>
      <c r="K15" s="18"/>
    </row>
    <row r="16" ht="20.05" customHeight="1">
      <c r="B16" s="32">
        <v>2018</v>
      </c>
      <c r="C16" s="17">
        <v>177.9</v>
      </c>
      <c r="D16" s="18">
        <v>2157.5</v>
      </c>
      <c r="E16" s="18">
        <f>D16-C16</f>
        <v>1979.6</v>
      </c>
      <c r="F16" s="18"/>
      <c r="G16" s="18">
        <v>331.2</v>
      </c>
      <c r="H16" s="18">
        <v>1826.4</v>
      </c>
      <c r="I16" s="18">
        <f>G16+H16-C16-E16</f>
        <v>0.1</v>
      </c>
      <c r="J16" s="18">
        <f>C16-G16</f>
        <v>-153.3</v>
      </c>
      <c r="K16" s="18"/>
    </row>
    <row r="17" ht="20.05" customHeight="1">
      <c r="B17" s="31"/>
      <c r="C17" s="17">
        <v>185.9</v>
      </c>
      <c r="D17" s="18">
        <v>2159.9</v>
      </c>
      <c r="E17" s="18">
        <f>D17-C17</f>
        <v>1974</v>
      </c>
      <c r="F17" s="18"/>
      <c r="G17" s="18">
        <v>310.9</v>
      </c>
      <c r="H17" s="18">
        <v>1848.9</v>
      </c>
      <c r="I17" s="18">
        <f>G17+H17-C17-E17</f>
        <v>-0.1</v>
      </c>
      <c r="J17" s="18">
        <f>C17-G17</f>
        <v>-125</v>
      </c>
      <c r="K17" s="18"/>
    </row>
    <row r="18" ht="20.05" customHeight="1">
      <c r="B18" s="31"/>
      <c r="C18" s="17">
        <v>266.3</v>
      </c>
      <c r="D18" s="18">
        <v>2186.4</v>
      </c>
      <c r="E18" s="18">
        <f>D18-C18</f>
        <v>1920.1</v>
      </c>
      <c r="F18" s="18"/>
      <c r="G18" s="18">
        <v>311.7</v>
      </c>
      <c r="H18" s="18">
        <v>1874.7</v>
      </c>
      <c r="I18" s="18">
        <f>G18+H18-C18-E18</f>
        <v>0</v>
      </c>
      <c r="J18" s="18">
        <f>C18-G18</f>
        <v>-45.4</v>
      </c>
      <c r="K18" s="18"/>
    </row>
    <row r="19" ht="20.05" customHeight="1">
      <c r="B19" s="31"/>
      <c r="C19" s="17">
        <v>301.2</v>
      </c>
      <c r="D19" s="18">
        <v>2202.5</v>
      </c>
      <c r="E19" s="18">
        <f>D19-C19</f>
        <v>1901.3</v>
      </c>
      <c r="F19" s="18">
        <v>2168</v>
      </c>
      <c r="G19" s="18">
        <v>318.7</v>
      </c>
      <c r="H19" s="18">
        <v>1883.7</v>
      </c>
      <c r="I19" s="18">
        <f>G19+H19-C19-E19</f>
        <v>-0.1</v>
      </c>
      <c r="J19" s="18">
        <f>C19-G19</f>
        <v>-17.5</v>
      </c>
      <c r="K19" s="18"/>
    </row>
    <row r="20" ht="20.05" customHeight="1">
      <c r="B20" s="32">
        <v>2019</v>
      </c>
      <c r="C20" s="17">
        <v>219.4</v>
      </c>
      <c r="D20" s="18">
        <v>2139.3</v>
      </c>
      <c r="E20" s="18">
        <f>D20-C20</f>
        <v>1919.9</v>
      </c>
      <c r="F20" s="18">
        <v>2185</v>
      </c>
      <c r="G20" s="18">
        <v>279.6</v>
      </c>
      <c r="H20" s="18">
        <v>1859.7</v>
      </c>
      <c r="I20" s="18">
        <f>G20+H20-C20-E20</f>
        <v>0</v>
      </c>
      <c r="J20" s="18">
        <f>C20-G20</f>
        <v>-60.2</v>
      </c>
      <c r="K20" s="18"/>
    </row>
    <row r="21" ht="20.05" customHeight="1">
      <c r="B21" s="31"/>
      <c r="C21" s="17">
        <v>111.9</v>
      </c>
      <c r="D21" s="18">
        <v>2109.8</v>
      </c>
      <c r="E21" s="18">
        <f>D21-C21</f>
        <v>1997.9</v>
      </c>
      <c r="F21" s="18">
        <v>2212</v>
      </c>
      <c r="G21" s="18">
        <v>251.3</v>
      </c>
      <c r="H21" s="18">
        <v>1858</v>
      </c>
      <c r="I21" s="18">
        <f>G21+H21-C21-E21</f>
        <v>-0.5</v>
      </c>
      <c r="J21" s="18">
        <f>C21-G21</f>
        <v>-139.4</v>
      </c>
      <c r="K21" s="18"/>
    </row>
    <row r="22" ht="20.05" customHeight="1">
      <c r="B22" s="31"/>
      <c r="C22" s="17">
        <v>201.8</v>
      </c>
      <c r="D22" s="18">
        <v>2162.2</v>
      </c>
      <c r="E22" s="18">
        <f>D22-C22</f>
        <v>1960.4</v>
      </c>
      <c r="F22" s="18">
        <v>2236</v>
      </c>
      <c r="G22" s="18">
        <v>277.1</v>
      </c>
      <c r="H22" s="18">
        <v>1885</v>
      </c>
      <c r="I22" s="18">
        <f>G22+H22-C22-E22</f>
        <v>-0.1</v>
      </c>
      <c r="J22" s="18">
        <f>C22-G22</f>
        <v>-75.3</v>
      </c>
      <c r="K22" s="18"/>
    </row>
    <row r="23" ht="20.05" customHeight="1">
      <c r="B23" s="31"/>
      <c r="C23" s="17">
        <v>249</v>
      </c>
      <c r="D23" s="18">
        <v>2223</v>
      </c>
      <c r="E23" s="18">
        <f>D23-C23</f>
        <v>1974</v>
      </c>
      <c r="F23" s="18">
        <v>2260</v>
      </c>
      <c r="G23" s="18">
        <v>281</v>
      </c>
      <c r="H23" s="18">
        <v>1942</v>
      </c>
      <c r="I23" s="18">
        <f>G23+H23-C23-E23</f>
        <v>0</v>
      </c>
      <c r="J23" s="18">
        <f>C23-G23</f>
        <v>-32</v>
      </c>
      <c r="K23" s="18"/>
    </row>
    <row r="24" ht="20.05" customHeight="1">
      <c r="B24" s="32">
        <v>2020</v>
      </c>
      <c r="C24" s="17">
        <v>292.7</v>
      </c>
      <c r="D24" s="18">
        <v>2197.5</v>
      </c>
      <c r="E24" s="18">
        <f>D24-C24</f>
        <v>1904.8</v>
      </c>
      <c r="F24" s="18">
        <v>2287</v>
      </c>
      <c r="G24" s="18">
        <v>226</v>
      </c>
      <c r="H24" s="18">
        <v>1971</v>
      </c>
      <c r="I24" s="18">
        <f>G24+H24-C24-E24</f>
        <v>-0.5</v>
      </c>
      <c r="J24" s="18">
        <f>C24-G24</f>
        <v>66.7</v>
      </c>
      <c r="K24" s="18"/>
    </row>
    <row r="25" ht="20.05" customHeight="1">
      <c r="B25" s="31"/>
      <c r="C25" s="17">
        <v>289</v>
      </c>
      <c r="D25" s="18">
        <v>2237</v>
      </c>
      <c r="E25" s="18">
        <f>D25-C25</f>
        <v>1948</v>
      </c>
      <c r="F25" s="18">
        <v>2324</v>
      </c>
      <c r="G25" s="18">
        <v>242</v>
      </c>
      <c r="H25" s="18">
        <v>1995</v>
      </c>
      <c r="I25" s="18">
        <f>G25+H25-C25-E25</f>
        <v>0</v>
      </c>
      <c r="J25" s="18">
        <f>C25-G25</f>
        <v>47</v>
      </c>
      <c r="K25" s="18"/>
    </row>
    <row r="26" ht="20.05" customHeight="1">
      <c r="B26" s="31"/>
      <c r="C26" s="17">
        <v>361</v>
      </c>
      <c r="D26" s="18">
        <v>2278</v>
      </c>
      <c r="E26" s="18">
        <f>D26-C26</f>
        <v>1917</v>
      </c>
      <c r="F26" s="18">
        <f>F25+'Sales'!E26</f>
        <v>2363</v>
      </c>
      <c r="G26" s="18">
        <v>260</v>
      </c>
      <c r="H26" s="18">
        <v>2018</v>
      </c>
      <c r="I26" s="18">
        <f>G26+H26-C26-E26</f>
        <v>0</v>
      </c>
      <c r="J26" s="18">
        <f>C26-G26</f>
        <v>101</v>
      </c>
      <c r="K26" s="18"/>
    </row>
    <row r="27" ht="20.05" customHeight="1">
      <c r="B27" s="31"/>
      <c r="C27" s="17">
        <v>389</v>
      </c>
      <c r="D27" s="18">
        <v>2315</v>
      </c>
      <c r="E27" s="18">
        <f>D27-C27</f>
        <v>1926</v>
      </c>
      <c r="F27" s="18">
        <v>2372</v>
      </c>
      <c r="G27" s="18">
        <v>295</v>
      </c>
      <c r="H27" s="18">
        <v>2020</v>
      </c>
      <c r="I27" s="18">
        <f>G27+H27-C27-E27</f>
        <v>0</v>
      </c>
      <c r="J27" s="18">
        <f>C27-G27</f>
        <v>94</v>
      </c>
      <c r="K27" s="18"/>
    </row>
    <row r="28" ht="20.05" customHeight="1">
      <c r="B28" s="32">
        <v>2021</v>
      </c>
      <c r="C28" s="17">
        <v>386</v>
      </c>
      <c r="D28" s="18">
        <v>2327</v>
      </c>
      <c r="E28" s="18">
        <f>D28-C28</f>
        <v>1941</v>
      </c>
      <c r="F28" s="18">
        <v>2409</v>
      </c>
      <c r="G28" s="18">
        <v>273</v>
      </c>
      <c r="H28" s="18">
        <v>2054</v>
      </c>
      <c r="I28" s="18">
        <f>G28+H28-C28-E28</f>
        <v>0</v>
      </c>
      <c r="J28" s="18">
        <f>C28-G28</f>
        <v>113</v>
      </c>
      <c r="K28" s="18"/>
    </row>
    <row r="29" ht="20.05" customHeight="1">
      <c r="B29" s="31"/>
      <c r="C29" s="17">
        <v>426</v>
      </c>
      <c r="D29" s="18">
        <v>2337</v>
      </c>
      <c r="E29" s="18">
        <f>D29-C29</f>
        <v>1911</v>
      </c>
      <c r="F29" s="18">
        <v>2447</v>
      </c>
      <c r="G29" s="18">
        <v>291</v>
      </c>
      <c r="H29" s="18">
        <v>2046</v>
      </c>
      <c r="I29" s="18">
        <f>G29+H29-C29-E29</f>
        <v>0</v>
      </c>
      <c r="J29" s="18">
        <f>C29-G29</f>
        <v>135</v>
      </c>
      <c r="K29" s="18"/>
    </row>
    <row r="30" ht="20.05" customHeight="1">
      <c r="B30" s="31"/>
      <c r="C30" s="17">
        <v>469.6</v>
      </c>
      <c r="D30" s="18">
        <v>2402.9</v>
      </c>
      <c r="E30" s="18">
        <f>D30-C30</f>
        <v>1933.3</v>
      </c>
      <c r="F30" s="18">
        <f>F29+'Sales'!E30</f>
        <v>2487.4</v>
      </c>
      <c r="G30" s="18">
        <v>292.2</v>
      </c>
      <c r="H30" s="18">
        <v>2110.7</v>
      </c>
      <c r="I30" s="18">
        <f>G30+H30-C30-E30</f>
        <v>0</v>
      </c>
      <c r="J30" s="18">
        <f>C30-G30</f>
        <v>177.4</v>
      </c>
      <c r="K30" s="18"/>
    </row>
    <row r="31" ht="20.05" customHeight="1">
      <c r="B31" s="31"/>
      <c r="C31" s="17">
        <v>508</v>
      </c>
      <c r="D31" s="18">
        <v>2473</v>
      </c>
      <c r="E31" s="18">
        <f>D31-C31</f>
        <v>1965</v>
      </c>
      <c r="F31" s="18">
        <v>2483</v>
      </c>
      <c r="G31" s="18">
        <v>318</v>
      </c>
      <c r="H31" s="18">
        <v>2155</v>
      </c>
      <c r="I31" s="18">
        <f>G31+H31-C31-E31</f>
        <v>0</v>
      </c>
      <c r="J31" s="18">
        <f>C31-G31</f>
        <v>190</v>
      </c>
      <c r="K31" s="18"/>
    </row>
    <row r="32" ht="20.05" customHeight="1">
      <c r="B32" s="32">
        <v>2022</v>
      </c>
      <c r="C32" s="17">
        <v>518</v>
      </c>
      <c r="D32" s="18">
        <v>2544</v>
      </c>
      <c r="E32" s="18">
        <f>D32-C32</f>
        <v>2026</v>
      </c>
      <c r="F32" s="18">
        <f>2523+6</f>
        <v>2529</v>
      </c>
      <c r="G32" s="18">
        <v>322</v>
      </c>
      <c r="H32" s="18">
        <v>2222</v>
      </c>
      <c r="I32" s="18">
        <f>G32+H32-C32-E32</f>
        <v>0</v>
      </c>
      <c r="J32" s="18">
        <f>C32-G32</f>
        <v>196</v>
      </c>
      <c r="K32" s="18">
        <v>168.2</v>
      </c>
    </row>
    <row r="33" ht="20.05" customHeight="1">
      <c r="B33" s="31"/>
      <c r="C33" s="17"/>
      <c r="D33" s="18"/>
      <c r="E33" s="18"/>
      <c r="F33" s="18"/>
      <c r="G33" s="18"/>
      <c r="H33" s="18"/>
      <c r="I33" s="18"/>
      <c r="J33" s="18"/>
      <c r="K33" s="18">
        <f>'Model'!F31</f>
        <v>132.962969381731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110"/>
  <sheetViews>
    <sheetView workbookViewId="0" showGridLines="0" defaultGridColor="1"/>
  </sheetViews>
  <sheetFormatPr defaultColWidth="8.33333" defaultRowHeight="19.9" customHeight="1" outlineLevelRow="0" outlineLevelCol="0"/>
  <cols>
    <col min="1" max="1" width="8.13281" style="39" customWidth="1"/>
    <col min="2" max="2" width="6.49219" style="39" customWidth="1"/>
    <col min="3" max="5" width="8.46875" style="39" customWidth="1"/>
    <col min="6" max="17" width="16.3516" style="49" customWidth="1"/>
    <col min="18" max="16384" width="8.35156" style="49" customWidth="1"/>
  </cols>
  <sheetData>
    <row r="1" ht="28.55" customHeight="1"/>
    <row r="2" ht="27.65" customHeight="1">
      <c r="B2" t="s" s="2">
        <v>60</v>
      </c>
      <c r="C2" s="2"/>
      <c r="D2" s="2"/>
      <c r="E2" s="2"/>
    </row>
    <row r="3" ht="20.25" customHeight="1">
      <c r="B3" t="s" s="40">
        <v>61</v>
      </c>
      <c r="C3" t="s" s="40">
        <v>62</v>
      </c>
      <c r="D3" t="s" s="40">
        <v>63</v>
      </c>
      <c r="E3" t="s" s="40">
        <v>64</v>
      </c>
    </row>
    <row r="4" ht="20.25" customHeight="1">
      <c r="B4" s="41">
        <v>2018</v>
      </c>
      <c r="C4" s="42">
        <v>3160</v>
      </c>
      <c r="D4" s="43"/>
      <c r="E4" s="43"/>
    </row>
    <row r="5" ht="20.05" customHeight="1">
      <c r="B5" s="44"/>
      <c r="C5" s="45">
        <v>4370</v>
      </c>
      <c r="D5" s="46"/>
      <c r="E5" s="46"/>
    </row>
    <row r="6" ht="20.05" customHeight="1">
      <c r="B6" s="44"/>
      <c r="C6" s="45">
        <v>2920</v>
      </c>
      <c r="D6" s="46"/>
      <c r="E6" s="46"/>
    </row>
    <row r="7" ht="20.05" customHeight="1">
      <c r="B7" s="44"/>
      <c r="C7" s="45">
        <v>3850</v>
      </c>
      <c r="D7" s="46"/>
      <c r="E7" s="46"/>
    </row>
    <row r="8" ht="20.05" customHeight="1">
      <c r="B8" s="47">
        <v>2019</v>
      </c>
      <c r="C8" s="45">
        <v>3050</v>
      </c>
      <c r="D8" s="46"/>
      <c r="E8" s="46"/>
    </row>
    <row r="9" ht="20.05" customHeight="1">
      <c r="B9" s="44"/>
      <c r="C9" s="45">
        <v>3030</v>
      </c>
      <c r="D9" s="46"/>
      <c r="E9" s="46"/>
    </row>
    <row r="10" ht="20.05" customHeight="1">
      <c r="B10" s="44"/>
      <c r="C10" s="45">
        <v>3710</v>
      </c>
      <c r="D10" s="46"/>
      <c r="E10" s="46"/>
    </row>
    <row r="11" ht="20.05" customHeight="1">
      <c r="B11" s="44"/>
      <c r="C11" s="45">
        <v>3160</v>
      </c>
      <c r="D11" s="46"/>
      <c r="E11" s="46"/>
    </row>
    <row r="12" ht="20.05" customHeight="1">
      <c r="B12" s="47">
        <v>2020</v>
      </c>
      <c r="C12" s="45">
        <v>2570</v>
      </c>
      <c r="D12" s="46"/>
      <c r="E12" s="46"/>
    </row>
    <row r="13" ht="20.05" customHeight="1">
      <c r="B13" s="44"/>
      <c r="C13" s="45">
        <v>3420</v>
      </c>
      <c r="D13" s="46"/>
      <c r="E13" s="46"/>
    </row>
    <row r="14" ht="20.05" customHeight="1">
      <c r="B14" s="44"/>
      <c r="C14" s="45">
        <v>4050</v>
      </c>
      <c r="D14" s="48">
        <v>7045.320776927610</v>
      </c>
      <c r="E14" s="46"/>
    </row>
    <row r="15" ht="20.05" customHeight="1">
      <c r="B15" s="44"/>
      <c r="C15" s="45">
        <v>5500</v>
      </c>
      <c r="D15" s="48">
        <v>8762.503106361830</v>
      </c>
      <c r="E15" s="46"/>
    </row>
    <row r="16" ht="20.05" customHeight="1">
      <c r="B16" s="47">
        <v>2021</v>
      </c>
      <c r="C16" s="45">
        <v>4339.37793</v>
      </c>
      <c r="D16" s="48">
        <v>8253.035856388749</v>
      </c>
      <c r="E16" s="46"/>
    </row>
    <row r="17" ht="20.05" customHeight="1">
      <c r="B17" s="44"/>
      <c r="C17" s="45">
        <v>4610</v>
      </c>
      <c r="D17" s="48">
        <v>8150.924873918570</v>
      </c>
      <c r="E17" s="46"/>
    </row>
    <row r="18" ht="20.05" customHeight="1">
      <c r="B18" s="44"/>
      <c r="C18" s="45">
        <v>4590</v>
      </c>
      <c r="D18" s="48">
        <v>7518.567718808060</v>
      </c>
      <c r="E18" s="46"/>
    </row>
    <row r="19" ht="20.05" customHeight="1">
      <c r="B19" s="44"/>
      <c r="C19" s="45">
        <v>4680</v>
      </c>
      <c r="D19" s="48">
        <v>7518.567718808060</v>
      </c>
      <c r="E19" s="46"/>
    </row>
    <row r="20" ht="20.05" customHeight="1">
      <c r="B20" s="47">
        <v>2022</v>
      </c>
      <c r="C20" s="45">
        <v>6700</v>
      </c>
      <c r="D20" s="48">
        <v>7518.567718808060</v>
      </c>
      <c r="E20" s="46"/>
    </row>
    <row r="21" ht="20.05" customHeight="1">
      <c r="B21" s="44"/>
      <c r="C21" s="45">
        <v>7175</v>
      </c>
      <c r="D21" s="48">
        <v>6294.698391514950</v>
      </c>
      <c r="E21" s="46"/>
    </row>
    <row r="22" ht="20.05" customHeight="1">
      <c r="B22" s="44"/>
      <c r="C22" s="45"/>
      <c r="D22" s="48">
        <f>'Model'!F45</f>
        <v>10429.708236012</v>
      </c>
      <c r="E22" s="46"/>
    </row>
    <row r="24" ht="27.65" customHeight="1">
      <c r="F24" t="s" s="2">
        <v>65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ht="20.25" customHeight="1">
      <c r="F25" s="4"/>
      <c r="G25" t="s" s="50">
        <v>66</v>
      </c>
      <c r="H25" t="s" s="50">
        <v>67</v>
      </c>
      <c r="I25" t="s" s="50">
        <v>68</v>
      </c>
      <c r="J25" t="s" s="50">
        <v>62</v>
      </c>
      <c r="K25" s="4"/>
      <c r="L25" s="4"/>
      <c r="M25" s="4"/>
      <c r="N25" s="4"/>
      <c r="O25" s="4"/>
      <c r="P25" s="4"/>
      <c r="Q25" s="4"/>
    </row>
    <row r="26" ht="20.25" customHeight="1">
      <c r="F26" s="26">
        <v>2014</v>
      </c>
      <c r="G26" s="36">
        <v>769.34</v>
      </c>
      <c r="H26" s="29">
        <v>20462</v>
      </c>
      <c r="I26" s="29">
        <v>14015</v>
      </c>
      <c r="J26" s="29">
        <v>2305</v>
      </c>
      <c r="K26" s="29"/>
      <c r="L26" s="29"/>
      <c r="M26" s="29"/>
      <c r="N26" s="29"/>
      <c r="O26" s="29"/>
      <c r="P26" s="29"/>
      <c r="Q26" s="29"/>
    </row>
    <row r="27" ht="20.05" customHeight="1">
      <c r="F27" s="31"/>
      <c r="G27" s="17">
        <v>811.2</v>
      </c>
      <c r="H27" s="18">
        <v>24298</v>
      </c>
      <c r="I27" s="18">
        <v>14665</v>
      </c>
      <c r="J27" s="18">
        <v>2390</v>
      </c>
      <c r="K27" s="18"/>
      <c r="L27" s="18"/>
      <c r="M27" s="18"/>
      <c r="N27" s="18"/>
      <c r="O27" s="18"/>
      <c r="P27" s="18"/>
      <c r="Q27" s="18"/>
    </row>
    <row r="28" ht="20.05" customHeight="1">
      <c r="F28" s="31"/>
      <c r="G28" s="17">
        <v>860.52</v>
      </c>
      <c r="H28" s="18">
        <v>24774</v>
      </c>
      <c r="I28" s="18">
        <v>15888</v>
      </c>
      <c r="J28" s="18">
        <v>2820</v>
      </c>
      <c r="K28" s="18"/>
      <c r="L28" s="18"/>
      <c r="M28" s="18"/>
      <c r="N28" s="18"/>
      <c r="O28" s="18"/>
      <c r="P28" s="18"/>
      <c r="Q28" s="18"/>
    </row>
    <row r="29" ht="20.05" customHeight="1">
      <c r="F29" s="31"/>
      <c r="G29" s="17">
        <v>825.3200000000001</v>
      </c>
      <c r="H29" s="18">
        <v>28014</v>
      </c>
      <c r="I29" s="18">
        <v>18292</v>
      </c>
      <c r="J29" s="18">
        <v>3550</v>
      </c>
      <c r="K29" s="18"/>
      <c r="L29" s="18"/>
      <c r="M29" s="18"/>
      <c r="N29" s="18"/>
      <c r="O29" s="18"/>
      <c r="P29" s="18"/>
      <c r="Q29" s="18"/>
    </row>
    <row r="30" ht="20.05" customHeight="1">
      <c r="F30" s="31"/>
      <c r="G30" s="17">
        <v>800.29</v>
      </c>
      <c r="H30" s="18">
        <v>26037</v>
      </c>
      <c r="I30" s="18">
        <v>19266</v>
      </c>
      <c r="J30" s="18">
        <v>3915</v>
      </c>
      <c r="K30" s="18"/>
      <c r="L30" s="18"/>
      <c r="M30" s="18"/>
      <c r="N30" s="18"/>
      <c r="O30" s="18"/>
      <c r="P30" s="18"/>
      <c r="Q30" s="18"/>
    </row>
    <row r="31" ht="20.05" customHeight="1">
      <c r="F31" s="31"/>
      <c r="G31" s="17">
        <v>758.47</v>
      </c>
      <c r="H31" s="18">
        <v>26847</v>
      </c>
      <c r="I31" s="18">
        <v>19030</v>
      </c>
      <c r="J31" s="18">
        <v>3555</v>
      </c>
      <c r="K31" s="18"/>
      <c r="L31" s="18"/>
      <c r="M31" s="18"/>
      <c r="N31" s="18"/>
      <c r="O31" s="18"/>
      <c r="P31" s="18"/>
      <c r="Q31" s="18"/>
    </row>
    <row r="32" ht="20.05" customHeight="1">
      <c r="F32" s="31"/>
      <c r="G32" s="17">
        <v>752.89</v>
      </c>
      <c r="H32" s="18">
        <v>25441</v>
      </c>
      <c r="I32" s="18">
        <v>18502</v>
      </c>
      <c r="J32" s="18">
        <v>4025</v>
      </c>
      <c r="K32" s="18"/>
      <c r="L32" s="18"/>
      <c r="M32" s="18"/>
      <c r="N32" s="18"/>
      <c r="O32" s="18"/>
      <c r="P32" s="18"/>
      <c r="Q32" s="18"/>
    </row>
    <row r="33" ht="20.05" customHeight="1">
      <c r="F33" s="31"/>
      <c r="G33" s="17">
        <v>677.86</v>
      </c>
      <c r="H33" s="18">
        <v>24298</v>
      </c>
      <c r="I33" s="18">
        <v>18780</v>
      </c>
      <c r="J33" s="18">
        <v>4180</v>
      </c>
      <c r="K33" s="18"/>
      <c r="L33" s="18"/>
      <c r="M33" s="18"/>
      <c r="N33" s="18"/>
      <c r="O33" s="18"/>
      <c r="P33" s="18"/>
      <c r="Q33" s="18"/>
    </row>
    <row r="34" ht="20.05" customHeight="1">
      <c r="F34" s="31"/>
      <c r="G34" s="17">
        <v>656.98</v>
      </c>
      <c r="H34" s="18">
        <v>21916</v>
      </c>
      <c r="I34" s="18">
        <v>16265</v>
      </c>
      <c r="J34" s="18">
        <v>3750</v>
      </c>
      <c r="K34" s="18"/>
      <c r="L34" s="18"/>
      <c r="M34" s="18"/>
      <c r="N34" s="18"/>
      <c r="O34" s="18"/>
      <c r="P34" s="18"/>
      <c r="Q34" s="18"/>
    </row>
    <row r="35" ht="20.05" customHeight="1">
      <c r="F35" s="31"/>
      <c r="G35" s="17">
        <v>673.09</v>
      </c>
      <c r="H35" s="18">
        <v>22392</v>
      </c>
      <c r="I35" s="18">
        <v>15697</v>
      </c>
      <c r="J35" s="18">
        <v>3790</v>
      </c>
      <c r="K35" s="18"/>
      <c r="L35" s="18"/>
      <c r="M35" s="18"/>
      <c r="N35" s="18"/>
      <c r="O35" s="18"/>
      <c r="P35" s="18"/>
      <c r="Q35" s="18"/>
    </row>
    <row r="36" ht="20.05" customHeight="1">
      <c r="F36" s="31"/>
      <c r="G36" s="17">
        <v>662.4</v>
      </c>
      <c r="H36" s="18">
        <v>22868</v>
      </c>
      <c r="I36" s="18">
        <v>16184</v>
      </c>
      <c r="J36" s="18">
        <v>3985</v>
      </c>
      <c r="K36" s="18"/>
      <c r="L36" s="18"/>
      <c r="M36" s="18"/>
      <c r="N36" s="18"/>
      <c r="O36" s="18"/>
      <c r="P36" s="18"/>
      <c r="Q36" s="18"/>
    </row>
    <row r="37" ht="20.05" customHeight="1">
      <c r="F37" s="31"/>
      <c r="G37" s="17">
        <v>624.54</v>
      </c>
      <c r="H37" s="18">
        <v>23107</v>
      </c>
      <c r="I37" s="18">
        <v>15148</v>
      </c>
      <c r="J37" s="18">
        <v>3625</v>
      </c>
      <c r="K37" s="18"/>
      <c r="L37" s="18"/>
      <c r="M37" s="18"/>
      <c r="N37" s="18"/>
      <c r="O37" s="18"/>
      <c r="P37" s="18"/>
      <c r="Q37" s="18"/>
    </row>
    <row r="38" ht="20.05" customHeight="1">
      <c r="F38" s="32">
        <v>2015</v>
      </c>
      <c r="G38" s="17">
        <v>641.6</v>
      </c>
      <c r="H38" s="18">
        <v>22154</v>
      </c>
      <c r="I38" s="18">
        <v>15155</v>
      </c>
      <c r="J38" s="18">
        <v>3450</v>
      </c>
      <c r="K38" s="16">
        <f>G38/G35-1</f>
        <v>-0.0467842339063127</v>
      </c>
      <c r="L38" s="16">
        <f>H38/H35-1</f>
        <v>-0.0106287959985709</v>
      </c>
      <c r="M38" s="16"/>
      <c r="N38" s="16"/>
      <c r="O38" s="16">
        <f>I38/I35-1</f>
        <v>-0.034528890870867</v>
      </c>
      <c r="P38" s="16"/>
      <c r="Q38" s="16"/>
    </row>
    <row r="39" ht="20.05" customHeight="1">
      <c r="F39" s="31"/>
      <c r="G39" s="17">
        <v>634.38</v>
      </c>
      <c r="H39" s="18">
        <v>23488</v>
      </c>
      <c r="I39" s="18">
        <v>14065</v>
      </c>
      <c r="J39" s="18">
        <v>3525</v>
      </c>
      <c r="K39" s="16">
        <f>G39/G36-1</f>
        <v>-0.0423007246376812</v>
      </c>
      <c r="L39" s="16">
        <f>H39/H36-1</f>
        <v>0.0271121217421725</v>
      </c>
      <c r="M39" s="16"/>
      <c r="N39" s="16"/>
      <c r="O39" s="16">
        <f>I39/I36-1</f>
        <v>-0.130931784478497</v>
      </c>
      <c r="P39" s="16"/>
      <c r="Q39" s="16"/>
    </row>
    <row r="40" ht="20.05" customHeight="1">
      <c r="F40" s="31"/>
      <c r="G40" s="17">
        <v>607.65</v>
      </c>
      <c r="H40" s="18">
        <v>23154</v>
      </c>
      <c r="I40" s="18">
        <v>12350</v>
      </c>
      <c r="J40" s="18">
        <v>3235</v>
      </c>
      <c r="K40" s="16">
        <f>G40/G37-1</f>
        <v>-0.0270439043135748</v>
      </c>
      <c r="L40" s="16">
        <f>H40/H37-1</f>
        <v>0.00203401566624832</v>
      </c>
      <c r="M40" s="16"/>
      <c r="N40" s="16"/>
      <c r="O40" s="16">
        <f>I40/I37-1</f>
        <v>-0.184710852917877</v>
      </c>
      <c r="P40" s="16"/>
      <c r="Q40" s="16"/>
    </row>
    <row r="41" ht="20.05" customHeight="1">
      <c r="F41" s="31"/>
      <c r="G41" s="17">
        <v>591.79</v>
      </c>
      <c r="H41" s="18">
        <v>19390</v>
      </c>
      <c r="I41" s="18">
        <v>13910</v>
      </c>
      <c r="J41" s="18">
        <v>2795</v>
      </c>
      <c r="K41" s="16">
        <f>G41/G38-1</f>
        <v>-0.0776340399002494</v>
      </c>
      <c r="L41" s="16">
        <f>H41/H38-1</f>
        <v>-0.124763022479011</v>
      </c>
      <c r="M41" s="16"/>
      <c r="N41" s="16"/>
      <c r="O41" s="16">
        <f>I41/I38-1</f>
        <v>-0.0821511052457935</v>
      </c>
      <c r="P41" s="16"/>
      <c r="Q41" s="16"/>
    </row>
    <row r="42" ht="20.05" customHeight="1">
      <c r="F42" s="31"/>
      <c r="G42" s="17">
        <v>601.4</v>
      </c>
      <c r="H42" s="18">
        <v>23631</v>
      </c>
      <c r="I42" s="18">
        <v>12580</v>
      </c>
      <c r="J42" s="18">
        <v>3120</v>
      </c>
      <c r="K42" s="16">
        <f>G42/G39-1</f>
        <v>-0.0519877675840979</v>
      </c>
      <c r="L42" s="16">
        <f>H42/H39-1</f>
        <v>0.00608821525885559</v>
      </c>
      <c r="M42" s="16"/>
      <c r="N42" s="16"/>
      <c r="O42" s="16">
        <f>I42/I39-1</f>
        <v>-0.105581230003555</v>
      </c>
      <c r="P42" s="16"/>
      <c r="Q42" s="16"/>
    </row>
    <row r="43" ht="20.05" customHeight="1">
      <c r="F43" s="31"/>
      <c r="G43" s="17">
        <v>606.4</v>
      </c>
      <c r="H43" s="18">
        <v>21868</v>
      </c>
      <c r="I43" s="18">
        <v>11995</v>
      </c>
      <c r="J43" s="18">
        <v>2710</v>
      </c>
      <c r="K43" s="16">
        <f>G43/G40-1</f>
        <v>-0.00205710524150416</v>
      </c>
      <c r="L43" s="16">
        <f>H43/H40-1</f>
        <v>-0.0555411591949555</v>
      </c>
      <c r="M43" s="16"/>
      <c r="N43" s="16"/>
      <c r="O43" s="16">
        <f>I43/I40-1</f>
        <v>-0.0287449392712551</v>
      </c>
      <c r="P43" s="16"/>
      <c r="Q43" s="16"/>
    </row>
    <row r="44" ht="20.05" customHeight="1">
      <c r="F44" s="31"/>
      <c r="G44" s="17">
        <v>575.6799999999999</v>
      </c>
      <c r="H44" s="18">
        <v>19128</v>
      </c>
      <c r="I44" s="18">
        <v>11055</v>
      </c>
      <c r="J44" s="18">
        <v>1960</v>
      </c>
      <c r="K44" s="16">
        <f>G44/G41-1</f>
        <v>-0.0272224944659423</v>
      </c>
      <c r="L44" s="16">
        <f>H44/H41-1</f>
        <v>-0.0135121196493038</v>
      </c>
      <c r="M44" s="16"/>
      <c r="N44" s="16"/>
      <c r="O44" s="16">
        <f>I44/I41-1</f>
        <v>-0.205248023005032</v>
      </c>
      <c r="P44" s="16"/>
      <c r="Q44" s="16"/>
    </row>
    <row r="45" ht="20.05" customHeight="1">
      <c r="F45" s="31"/>
      <c r="G45" s="17">
        <v>484.68</v>
      </c>
      <c r="H45" s="18">
        <v>16318</v>
      </c>
      <c r="I45" s="18">
        <v>10045</v>
      </c>
      <c r="J45" s="18">
        <v>1545</v>
      </c>
      <c r="K45" s="16">
        <f>G45/G42-1</f>
        <v>-0.194080478882607</v>
      </c>
      <c r="L45" s="16">
        <f>H45/H42-1</f>
        <v>-0.30946637890906</v>
      </c>
      <c r="M45" s="16"/>
      <c r="N45" s="16"/>
      <c r="O45" s="16">
        <f>I45/I42-1</f>
        <v>-0.201510333863275</v>
      </c>
      <c r="P45" s="16"/>
      <c r="Q45" s="16"/>
    </row>
    <row r="46" ht="20.05" customHeight="1">
      <c r="F46" s="31"/>
      <c r="G46" s="17">
        <v>483.49</v>
      </c>
      <c r="H46" s="18">
        <v>17270</v>
      </c>
      <c r="I46" s="18">
        <v>10325</v>
      </c>
      <c r="J46" s="18">
        <v>2185</v>
      </c>
      <c r="K46" s="16">
        <f>G46/G43-1</f>
        <v>-0.202687994722955</v>
      </c>
      <c r="L46" s="16">
        <f>H46/H43-1</f>
        <v>-0.210261569416499</v>
      </c>
      <c r="M46" s="16"/>
      <c r="N46" s="16"/>
      <c r="O46" s="16">
        <f>I46/I43-1</f>
        <v>-0.139224676948729</v>
      </c>
      <c r="P46" s="16"/>
      <c r="Q46" s="16"/>
    </row>
    <row r="47" ht="20.05" customHeight="1">
      <c r="F47" s="31"/>
      <c r="G47" s="17">
        <v>530.25</v>
      </c>
      <c r="H47" s="18">
        <v>18962</v>
      </c>
      <c r="I47" s="18">
        <v>10025</v>
      </c>
      <c r="J47" s="18">
        <v>2235</v>
      </c>
      <c r="K47" s="16">
        <f>G47/G44-1</f>
        <v>-0.0789153696498054</v>
      </c>
      <c r="L47" s="16">
        <f>H47/H44-1</f>
        <v>-0.00867837724801338</v>
      </c>
      <c r="M47" s="16"/>
      <c r="N47" s="16"/>
      <c r="O47" s="16">
        <f>I47/I44-1</f>
        <v>-0.09317051108095881</v>
      </c>
      <c r="P47" s="16"/>
      <c r="Q47" s="16"/>
    </row>
    <row r="48" ht="20.05" customHeight="1">
      <c r="F48" s="31"/>
      <c r="G48" s="17">
        <v>503.16</v>
      </c>
      <c r="H48" s="18">
        <v>16151</v>
      </c>
      <c r="I48" s="18">
        <v>8855</v>
      </c>
      <c r="J48" s="18">
        <v>1645</v>
      </c>
      <c r="K48" s="16">
        <f>G48/G45-1</f>
        <v>0.0381282495667244</v>
      </c>
      <c r="L48" s="16">
        <f>H48/H45-1</f>
        <v>-0.0102340973158475</v>
      </c>
      <c r="M48" s="16"/>
      <c r="N48" s="16"/>
      <c r="O48" s="16">
        <f>I48/I45-1</f>
        <v>-0.118466898954704</v>
      </c>
      <c r="P48" s="16"/>
      <c r="Q48" s="16"/>
    </row>
    <row r="49" ht="20.05" customHeight="1">
      <c r="F49" s="31"/>
      <c r="G49" s="17">
        <v>520.6</v>
      </c>
      <c r="H49" s="18">
        <v>15103</v>
      </c>
      <c r="I49" s="18">
        <v>8815</v>
      </c>
      <c r="J49" s="18">
        <v>1635</v>
      </c>
      <c r="K49" s="16">
        <f>G49/G46-1</f>
        <v>0.0767544313222611</v>
      </c>
      <c r="L49" s="16">
        <f>H49/H46-1</f>
        <v>-0.125477707006369</v>
      </c>
      <c r="M49" s="16"/>
      <c r="N49" s="16"/>
      <c r="O49" s="16">
        <f>I49/I46-1</f>
        <v>-0.146246973365617</v>
      </c>
      <c r="P49" s="16">
        <f>AVERAGE(O25:O49)</f>
        <v>-0.122543018333847</v>
      </c>
      <c r="Q49" s="16"/>
    </row>
    <row r="50" ht="20.05" customHeight="1">
      <c r="F50" s="32">
        <v>2016</v>
      </c>
      <c r="G50" s="17">
        <v>531.62</v>
      </c>
      <c r="H50" s="18">
        <v>16270</v>
      </c>
      <c r="I50" s="18">
        <v>8600</v>
      </c>
      <c r="J50" s="18">
        <v>1445</v>
      </c>
      <c r="K50" s="16">
        <f>G50/G47-1</f>
        <v>0.00258368694012258</v>
      </c>
      <c r="L50" s="16">
        <f>H50/H47-1</f>
        <v>-0.141968146819956</v>
      </c>
      <c r="M50" s="16"/>
      <c r="N50" s="16"/>
      <c r="O50" s="16">
        <f>I50/I47-1</f>
        <v>-0.14214463840399</v>
      </c>
      <c r="P50" s="16">
        <f>AVERAGE(O25:O50)</f>
        <v>-0.124050835262319</v>
      </c>
      <c r="Q50" s="16"/>
    </row>
    <row r="51" ht="20.05" customHeight="1">
      <c r="F51" s="31"/>
      <c r="G51" s="17">
        <v>595.9</v>
      </c>
      <c r="H51" s="18">
        <v>14150</v>
      </c>
      <c r="I51" s="18">
        <v>8505</v>
      </c>
      <c r="J51" s="18">
        <v>1535</v>
      </c>
      <c r="K51" s="16">
        <f>G51/G48-1</f>
        <v>0.184315128388584</v>
      </c>
      <c r="L51" s="16">
        <f>H51/H48-1</f>
        <v>-0.123893257383444</v>
      </c>
      <c r="M51" s="16"/>
      <c r="N51" s="16"/>
      <c r="O51" s="16">
        <f>I51/I48-1</f>
        <v>-0.0395256916996047</v>
      </c>
      <c r="P51" s="16">
        <f>AVERAGE(O25:O51)</f>
        <v>-0.11801332500784</v>
      </c>
      <c r="Q51" s="16"/>
    </row>
    <row r="52" ht="20.05" customHeight="1">
      <c r="F52" s="31"/>
      <c r="G52" s="17">
        <v>633.0700000000001</v>
      </c>
      <c r="H52" s="18">
        <v>17342</v>
      </c>
      <c r="I52" s="18">
        <v>8495</v>
      </c>
      <c r="J52" s="18">
        <v>1750</v>
      </c>
      <c r="K52" s="16">
        <f>G52/G49-1</f>
        <v>0.216039185555129</v>
      </c>
      <c r="L52" s="16">
        <f>H52/H49-1</f>
        <v>0.148248692312786</v>
      </c>
      <c r="M52" s="16"/>
      <c r="N52" s="16"/>
      <c r="O52" s="16">
        <f>I52/I49-1</f>
        <v>-0.0363017583664209</v>
      </c>
      <c r="P52" s="16">
        <f>AVERAGE(O25:O52)</f>
        <v>-0.112565887231745</v>
      </c>
      <c r="Q52" s="16"/>
    </row>
    <row r="53" ht="20.05" customHeight="1">
      <c r="F53" s="31"/>
      <c r="G53" s="17">
        <v>680.38</v>
      </c>
      <c r="H53" s="18">
        <v>15341</v>
      </c>
      <c r="I53" s="18">
        <v>9430</v>
      </c>
      <c r="J53" s="18">
        <v>1860</v>
      </c>
      <c r="K53" s="16">
        <f>G53/G50-1</f>
        <v>0.279823934389225</v>
      </c>
      <c r="L53" s="16">
        <f>H53/H50-1</f>
        <v>-0.0570989551321451</v>
      </c>
      <c r="M53" s="16"/>
      <c r="N53" s="16"/>
      <c r="O53" s="16">
        <f>I53/I50-1</f>
        <v>0.0965116279069767</v>
      </c>
      <c r="P53" s="16">
        <f>AVERAGE(O25:O53)</f>
        <v>-0.099498542535575</v>
      </c>
      <c r="Q53" s="16"/>
    </row>
    <row r="54" ht="20.05" customHeight="1">
      <c r="F54" s="31"/>
      <c r="G54" s="17">
        <v>644.5599999999999</v>
      </c>
      <c r="H54" s="18">
        <v>13483</v>
      </c>
      <c r="I54" s="18">
        <v>8440</v>
      </c>
      <c r="J54" s="18">
        <v>1655</v>
      </c>
      <c r="K54" s="16">
        <f>G54/G51-1</f>
        <v>0.0816579963081054</v>
      </c>
      <c r="L54" s="16">
        <f>H54/H51-1</f>
        <v>-0.0471378091872792</v>
      </c>
      <c r="M54" s="16"/>
      <c r="N54" s="16"/>
      <c r="O54" s="16">
        <f>I54/I51-1</f>
        <v>-0.00764256319811875</v>
      </c>
      <c r="P54" s="16">
        <f>AVERAGE(O25:O54)</f>
        <v>-0.09409524963337169</v>
      </c>
      <c r="Q54" s="16"/>
    </row>
    <row r="55" ht="20.05" customHeight="1">
      <c r="F55" s="31"/>
      <c r="G55" s="17">
        <v>618.45</v>
      </c>
      <c r="H55" s="18">
        <v>14700</v>
      </c>
      <c r="I55" s="18">
        <v>9415</v>
      </c>
      <c r="J55" s="18">
        <v>1820</v>
      </c>
      <c r="K55" s="16">
        <f>G55/G52-1</f>
        <v>-0.0230938126905398</v>
      </c>
      <c r="L55" s="16">
        <f>H55/H52-1</f>
        <v>-0.152346903471341</v>
      </c>
      <c r="M55" s="16"/>
      <c r="N55" s="16"/>
      <c r="O55" s="16">
        <f>I55/I52-1</f>
        <v>0.108298999411418</v>
      </c>
      <c r="P55" s="16">
        <f>AVERAGE(O25:O55)</f>
        <v>-0.0828511246864389</v>
      </c>
      <c r="Q55" s="16"/>
    </row>
    <row r="56" ht="20.05" customHeight="1">
      <c r="F56" s="31"/>
      <c r="G56" s="17">
        <v>584.1900000000001</v>
      </c>
      <c r="H56" s="18">
        <v>14500</v>
      </c>
      <c r="I56" s="18">
        <v>10637.5</v>
      </c>
      <c r="J56" s="18">
        <v>2560</v>
      </c>
      <c r="K56" s="16">
        <f>G56/G53-1</f>
        <v>-0.141376877627208</v>
      </c>
      <c r="L56" s="16">
        <f>H56/H53-1</f>
        <v>-0.054820415879017</v>
      </c>
      <c r="M56" s="16"/>
      <c r="N56" s="16"/>
      <c r="O56" s="16">
        <f>I56/I53-1</f>
        <v>0.128048780487805</v>
      </c>
      <c r="P56" s="16">
        <f>AVERAGE(O25:O56)</f>
        <v>-0.0717511296772682</v>
      </c>
      <c r="Q56" s="16"/>
    </row>
    <row r="57" ht="20.05" customHeight="1">
      <c r="F57" s="31"/>
      <c r="G57" s="17">
        <v>664.38</v>
      </c>
      <c r="H57" s="18">
        <v>16400</v>
      </c>
      <c r="I57" s="18">
        <v>9777.5</v>
      </c>
      <c r="J57" s="18">
        <v>2640</v>
      </c>
      <c r="K57" s="16">
        <f>G57/G54-1</f>
        <v>0.0307496586818915</v>
      </c>
      <c r="L57" s="16">
        <f>H57/H54-1</f>
        <v>0.21634651042053</v>
      </c>
      <c r="M57" s="16"/>
      <c r="N57" s="16"/>
      <c r="O57" s="16">
        <f>I57/I54-1</f>
        <v>0.158471563981043</v>
      </c>
      <c r="P57" s="16">
        <f>AVERAGE(O25:O57)</f>
        <v>-0.0602399949943526</v>
      </c>
      <c r="Q57" s="16"/>
    </row>
    <row r="58" ht="20.05" customHeight="1">
      <c r="F58" s="31"/>
      <c r="G58" s="17">
        <v>692.41</v>
      </c>
      <c r="H58" s="18">
        <v>14825</v>
      </c>
      <c r="I58" s="18">
        <v>10510</v>
      </c>
      <c r="J58" s="18">
        <v>2950</v>
      </c>
      <c r="K58" s="16">
        <f>G58/G55-1</f>
        <v>0.119589295820196</v>
      </c>
      <c r="L58" s="16">
        <f>H58/H55-1</f>
        <v>0.00850340136054422</v>
      </c>
      <c r="M58" s="16"/>
      <c r="N58" s="16"/>
      <c r="O58" s="16">
        <f>I58/I55-1</f>
        <v>0.116303770578864</v>
      </c>
      <c r="P58" s="16">
        <f>AVERAGE(O25:O58)</f>
        <v>-0.0518331490146756</v>
      </c>
      <c r="Q58" s="16"/>
    </row>
    <row r="59" ht="20.05" customHeight="1">
      <c r="F59" s="31"/>
      <c r="G59" s="17">
        <v>651.45</v>
      </c>
      <c r="H59" s="18">
        <v>15250</v>
      </c>
      <c r="I59" s="18">
        <v>10417.5</v>
      </c>
      <c r="J59" s="18">
        <v>2720</v>
      </c>
      <c r="K59" s="16">
        <f>G59/G56-1</f>
        <v>0.115133774970472</v>
      </c>
      <c r="L59" s="16">
        <f>H59/H56-1</f>
        <v>0.0517241379310345</v>
      </c>
      <c r="M59" s="16"/>
      <c r="N59" s="16"/>
      <c r="O59" s="16">
        <f>I59/I56-1</f>
        <v>-0.0206815511163337</v>
      </c>
      <c r="P59" s="16">
        <f>AVERAGE(O25:O59)</f>
        <v>-0.0504171672920237</v>
      </c>
      <c r="Q59" s="16"/>
    </row>
    <row r="60" ht="20.05" customHeight="1">
      <c r="F60" s="31"/>
      <c r="G60" s="17">
        <v>670</v>
      </c>
      <c r="H60" s="18">
        <v>16550</v>
      </c>
      <c r="I60" s="18">
        <v>11167.5</v>
      </c>
      <c r="J60" s="18">
        <v>3380</v>
      </c>
      <c r="K60" s="16">
        <f>G60/G57-1</f>
        <v>0.008459014419458739</v>
      </c>
      <c r="L60" s="16">
        <f>H60/H57-1</f>
        <v>0.00914634146341463</v>
      </c>
      <c r="M60" s="16"/>
      <c r="N60" s="16"/>
      <c r="O60" s="16">
        <f>I60/I57-1</f>
        <v>0.142163129634365</v>
      </c>
      <c r="P60" s="16">
        <f>AVERAGE(O25:O60)</f>
        <v>-0.0420441109039199</v>
      </c>
      <c r="Q60" s="16"/>
    </row>
    <row r="61" ht="20.05" customHeight="1">
      <c r="F61" s="31"/>
      <c r="G61" s="17">
        <v>711.76</v>
      </c>
      <c r="H61" s="18">
        <v>16775</v>
      </c>
      <c r="I61" s="18">
        <v>10057.5</v>
      </c>
      <c r="J61" s="18">
        <v>2820</v>
      </c>
      <c r="K61" s="16">
        <f>G61/G58-1</f>
        <v>0.0279458702214006</v>
      </c>
      <c r="L61" s="16">
        <f>H61/H58-1</f>
        <v>0.131534569983137</v>
      </c>
      <c r="M61" s="16"/>
      <c r="N61" s="16"/>
      <c r="O61" s="16">
        <f>I61/I58-1</f>
        <v>-0.0430542340627973</v>
      </c>
      <c r="P61" s="16">
        <f>AVERAGE(O26:O61)</f>
        <v>-0.0420861993688731</v>
      </c>
      <c r="Q61" s="16"/>
    </row>
    <row r="62" ht="20.05" customHeight="1">
      <c r="F62" s="32">
        <v>2017</v>
      </c>
      <c r="G62" s="17">
        <v>729.25</v>
      </c>
      <c r="H62" s="18">
        <v>15775</v>
      </c>
      <c r="I62" s="18">
        <v>9962.5</v>
      </c>
      <c r="J62" s="18">
        <v>2370</v>
      </c>
      <c r="K62" s="16">
        <f>G62/G59-1</f>
        <v>0.11942589607798</v>
      </c>
      <c r="L62" s="16">
        <f>H62/H59-1</f>
        <v>0.0344262295081967</v>
      </c>
      <c r="M62" s="16"/>
      <c r="N62" s="16"/>
      <c r="O62" s="16">
        <f>I62/I59-1</f>
        <v>-0.0436765058795296</v>
      </c>
      <c r="P62" s="16">
        <f>AVERAGE(O27:O62)</f>
        <v>-0.0421498116292993</v>
      </c>
      <c r="Q62" s="16"/>
    </row>
    <row r="63" ht="20.05" customHeight="1">
      <c r="F63" s="31"/>
      <c r="G63" s="17">
        <v>652.75</v>
      </c>
      <c r="H63" s="18">
        <v>14950</v>
      </c>
      <c r="I63" s="18">
        <v>10965</v>
      </c>
      <c r="J63" s="18">
        <v>2550</v>
      </c>
      <c r="K63" s="16">
        <f>G63/G60-1</f>
        <v>-0.0257462686567164</v>
      </c>
      <c r="L63" s="16">
        <f>H63/H60-1</f>
        <v>-0.0966767371601208</v>
      </c>
      <c r="M63" s="16"/>
      <c r="N63" s="16"/>
      <c r="O63" s="16">
        <f>I63/I60-1</f>
        <v>-0.0181329751511081</v>
      </c>
      <c r="P63" s="16">
        <f>AVERAGE(O28:O63)</f>
        <v>-0.0412260871493689</v>
      </c>
      <c r="Q63" s="16"/>
    </row>
    <row r="64" ht="20.05" customHeight="1">
      <c r="F64" s="31"/>
      <c r="G64" s="17">
        <v>640.5</v>
      </c>
      <c r="H64" s="18">
        <v>14900</v>
      </c>
      <c r="I64" s="18">
        <v>10022.5</v>
      </c>
      <c r="J64" s="18">
        <v>2390</v>
      </c>
      <c r="K64" s="16">
        <f>G64/G61-1</f>
        <v>-0.100118017309205</v>
      </c>
      <c r="L64" s="16">
        <f>H64/H61-1</f>
        <v>-0.11177347242921</v>
      </c>
      <c r="M64" s="16"/>
      <c r="N64" s="16"/>
      <c r="O64" s="16">
        <f>I64/I61-1</f>
        <v>-0.00347999005717127</v>
      </c>
      <c r="P64" s="16">
        <f>AVERAGE(O29:O64)</f>
        <v>-0.0398280835533616</v>
      </c>
      <c r="Q64" s="16"/>
    </row>
    <row r="65" ht="20.05" customHeight="1">
      <c r="F65" s="31"/>
      <c r="G65" s="17">
        <v>620.75</v>
      </c>
      <c r="H65" s="18">
        <v>14400</v>
      </c>
      <c r="I65" s="18">
        <v>9450</v>
      </c>
      <c r="J65" s="18">
        <v>2220</v>
      </c>
      <c r="K65" s="16">
        <f>G65/G62-1</f>
        <v>-0.148782996229002</v>
      </c>
      <c r="L65" s="16">
        <f>H65/H62-1</f>
        <v>-0.0871632329635499</v>
      </c>
      <c r="M65" s="16"/>
      <c r="N65" s="16"/>
      <c r="O65" s="16">
        <f>I65/I62-1</f>
        <v>-0.0514429109159348</v>
      </c>
      <c r="P65" s="16">
        <f>AVERAGE(O30:O65)</f>
        <v>-0.0402428988163106</v>
      </c>
      <c r="Q65" s="16"/>
    </row>
    <row r="66" ht="20.05" customHeight="1">
      <c r="F66" s="31"/>
      <c r="G66" s="17">
        <v>642.25</v>
      </c>
      <c r="H66" s="18">
        <v>14300</v>
      </c>
      <c r="I66" s="18">
        <v>8952.5</v>
      </c>
      <c r="J66" s="18">
        <v>1905</v>
      </c>
      <c r="K66" s="16">
        <f>G66/G63-1</f>
        <v>-0.0160857908847185</v>
      </c>
      <c r="L66" s="16">
        <f>H66/H63-1</f>
        <v>-0.0434782608695652</v>
      </c>
      <c r="M66" s="16"/>
      <c r="N66" s="16"/>
      <c r="O66" s="16">
        <f>I66/I63-1</f>
        <v>-0.183538531691746</v>
      </c>
      <c r="P66" s="16">
        <f>AVERAGE(O31:O66)</f>
        <v>-0.0451841275361532</v>
      </c>
      <c r="Q66" s="16"/>
    </row>
    <row r="67" ht="20.05" customHeight="1">
      <c r="F67" s="31"/>
      <c r="G67" s="17">
        <v>604.5</v>
      </c>
      <c r="H67" s="18">
        <v>14700</v>
      </c>
      <c r="I67" s="18">
        <v>9372.5</v>
      </c>
      <c r="J67" s="18">
        <v>1850</v>
      </c>
      <c r="K67" s="16">
        <f>G67/G64-1</f>
        <v>-0.0562060889929742</v>
      </c>
      <c r="L67" s="16">
        <f>H67/H64-1</f>
        <v>-0.0134228187919463</v>
      </c>
      <c r="M67" s="16"/>
      <c r="N67" s="16"/>
      <c r="O67" s="16">
        <f>I67/I64-1</f>
        <v>-0.06485407832377151</v>
      </c>
      <c r="P67" s="16">
        <f>AVERAGE(O32:O67)</f>
        <v>-0.0458397925624072</v>
      </c>
      <c r="Q67" s="16"/>
    </row>
    <row r="68" ht="20.05" customHeight="1">
      <c r="F68" s="31"/>
      <c r="G68" s="17">
        <v>624.5</v>
      </c>
      <c r="H68" s="18">
        <v>14725</v>
      </c>
      <c r="I68" s="18">
        <v>10222.5</v>
      </c>
      <c r="J68" s="18">
        <v>2420</v>
      </c>
      <c r="K68" s="16">
        <f>G68/G65-1</f>
        <v>0.00604107933950866</v>
      </c>
      <c r="L68" s="16">
        <f>H68/H65-1</f>
        <v>0.0225694444444444</v>
      </c>
      <c r="M68" s="16"/>
      <c r="N68" s="16"/>
      <c r="O68" s="16">
        <f>I68/I65-1</f>
        <v>0.08174603174603171</v>
      </c>
      <c r="P68" s="16">
        <f>AVERAGE(O33:O68)</f>
        <v>-0.0417241208105221</v>
      </c>
      <c r="Q68" s="16"/>
    </row>
    <row r="69" ht="20.05" customHeight="1">
      <c r="F69" s="31"/>
      <c r="G69" s="17">
        <v>627.75</v>
      </c>
      <c r="H69" s="18">
        <v>14750</v>
      </c>
      <c r="I69" s="18">
        <v>11780</v>
      </c>
      <c r="J69" s="18">
        <v>2970</v>
      </c>
      <c r="K69" s="16">
        <f>G69/G66-1</f>
        <v>-0.0225768781627092</v>
      </c>
      <c r="L69" s="16">
        <f>H69/H66-1</f>
        <v>0.0314685314685315</v>
      </c>
      <c r="M69" s="16"/>
      <c r="N69" s="16"/>
      <c r="O69" s="16">
        <f>I69/I66-1</f>
        <v>0.315833566043005</v>
      </c>
      <c r="P69" s="16">
        <f>AVERAGE(O34:O69)</f>
        <v>-0.0305504430963493</v>
      </c>
      <c r="Q69" s="16"/>
    </row>
    <row r="70" ht="20.05" customHeight="1">
      <c r="F70" s="31"/>
      <c r="G70" s="17">
        <v>644.25</v>
      </c>
      <c r="H70" s="18">
        <v>14875</v>
      </c>
      <c r="I70" s="18">
        <v>10525</v>
      </c>
      <c r="J70" s="18">
        <v>2590</v>
      </c>
      <c r="K70" s="16">
        <f>G70/G67-1</f>
        <v>0.06575682382134</v>
      </c>
      <c r="L70" s="16">
        <f>H70/H67-1</f>
        <v>0.0119047619047619</v>
      </c>
      <c r="M70" s="16"/>
      <c r="N70" s="16"/>
      <c r="O70" s="16">
        <f>I70/I67-1</f>
        <v>0.122966124299813</v>
      </c>
      <c r="P70" s="16">
        <f>AVERAGE(O35:O70)</f>
        <v>-0.0258984259025262</v>
      </c>
      <c r="Q70" s="16"/>
    </row>
    <row r="71" ht="20.05" customHeight="1">
      <c r="F71" s="31"/>
      <c r="G71" s="17">
        <v>659.75</v>
      </c>
      <c r="H71" s="18">
        <v>14575</v>
      </c>
      <c r="I71" s="18">
        <v>12422.5</v>
      </c>
      <c r="J71" s="18">
        <v>2940</v>
      </c>
      <c r="K71" s="16">
        <f>G71/G68-1</f>
        <v>0.0564451561248999</v>
      </c>
      <c r="L71" s="16">
        <f>H71/H68-1</f>
        <v>-0.0101867572156197</v>
      </c>
      <c r="M71" s="16"/>
      <c r="N71" s="16"/>
      <c r="O71" s="16">
        <f>I71/I68-1</f>
        <v>0.215211543164588</v>
      </c>
      <c r="P71" s="16">
        <f>AVERAGE(O36:O71)</f>
        <v>-0.0188069562240817</v>
      </c>
      <c r="Q71" s="16"/>
    </row>
    <row r="72" ht="20.05" customHeight="1">
      <c r="F72" s="31"/>
      <c r="G72" s="17">
        <v>610.25</v>
      </c>
      <c r="H72" s="18">
        <v>13850</v>
      </c>
      <c r="I72" s="18">
        <v>11142.5</v>
      </c>
      <c r="J72" s="18">
        <v>2760</v>
      </c>
      <c r="K72" s="16">
        <f>G72/G69-1</f>
        <v>-0.0278773397052967</v>
      </c>
      <c r="L72" s="16">
        <f>H72/H69-1</f>
        <v>-0.0610169491525424</v>
      </c>
      <c r="M72" s="16"/>
      <c r="N72" s="16"/>
      <c r="O72" s="16">
        <f>I72/I69-1</f>
        <v>-0.0541171477079796</v>
      </c>
      <c r="P72" s="16">
        <f>AVERAGE(O37:O72)</f>
        <v>-0.0198158188379073</v>
      </c>
      <c r="Q72" s="16"/>
    </row>
    <row r="73" ht="20.05" customHeight="1">
      <c r="F73" s="31"/>
      <c r="G73" s="17">
        <v>604</v>
      </c>
      <c r="H73" s="18">
        <v>13150</v>
      </c>
      <c r="I73" s="18">
        <v>12652.5</v>
      </c>
      <c r="J73" s="18">
        <v>2890</v>
      </c>
      <c r="K73" s="16">
        <f>G73/G70-1</f>
        <v>-0.0624757469926271</v>
      </c>
      <c r="L73" s="16">
        <f>H73/H70-1</f>
        <v>-0.115966386554622</v>
      </c>
      <c r="M73" s="16"/>
      <c r="N73" s="16"/>
      <c r="O73" s="16">
        <f>I73/I70-1</f>
        <v>0.202137767220903</v>
      </c>
      <c r="P73" s="16">
        <f>AVERAGE(O38:O73)</f>
        <v>-0.0136504414473848</v>
      </c>
      <c r="Q73" s="16"/>
    </row>
    <row r="74" ht="20.05" customHeight="1">
      <c r="F74" s="32">
        <v>2018</v>
      </c>
      <c r="G74" s="17">
        <v>638.75</v>
      </c>
      <c r="H74" s="18">
        <v>13000</v>
      </c>
      <c r="I74" s="18">
        <v>13487.5</v>
      </c>
      <c r="J74" s="18">
        <v>3750</v>
      </c>
      <c r="K74" s="16">
        <f>G74/G71-1</f>
        <v>-0.0318302387267905</v>
      </c>
      <c r="L74" s="16">
        <f>H74/H71-1</f>
        <v>-0.108061749571184</v>
      </c>
      <c r="M74" s="16"/>
      <c r="N74" s="16"/>
      <c r="O74" s="16">
        <f>I74/I71-1</f>
        <v>0.0857315355202254</v>
      </c>
      <c r="P74" s="16">
        <f>AVERAGE(O39:O74)</f>
        <v>-0.0103098740476323</v>
      </c>
      <c r="Q74" s="16"/>
    </row>
    <row r="75" ht="20.05" customHeight="1">
      <c r="F75" s="31"/>
      <c r="G75" s="17">
        <v>655.5</v>
      </c>
      <c r="H75" s="18">
        <v>14425</v>
      </c>
      <c r="I75" s="18">
        <v>13737.5</v>
      </c>
      <c r="J75" s="18">
        <v>3390</v>
      </c>
      <c r="K75" s="16">
        <f>G75/G72-1</f>
        <v>0.0741499385497747</v>
      </c>
      <c r="L75" s="16">
        <f>H75/H72-1</f>
        <v>0.0415162454873646</v>
      </c>
      <c r="M75" s="16"/>
      <c r="N75" s="16"/>
      <c r="O75" s="16">
        <f>I75/I72-1</f>
        <v>0.232892079874355</v>
      </c>
      <c r="P75" s="16">
        <f>AVERAGE(O40:O75)</f>
        <v>-0.000203655593386384</v>
      </c>
      <c r="Q75" s="16"/>
    </row>
    <row r="76" ht="20.05" customHeight="1">
      <c r="F76" s="31"/>
      <c r="G76" s="17">
        <v>616.25</v>
      </c>
      <c r="H76" s="18">
        <v>13475</v>
      </c>
      <c r="I76" s="18">
        <v>13380</v>
      </c>
      <c r="J76" s="18">
        <v>2790</v>
      </c>
      <c r="K76" s="16">
        <f>G76/G73-1</f>
        <v>0.0202814569536424</v>
      </c>
      <c r="L76" s="16">
        <f>H76/H73-1</f>
        <v>0.0247148288973384</v>
      </c>
      <c r="M76" s="16"/>
      <c r="N76" s="16"/>
      <c r="O76" s="16">
        <f>I76/I73-1</f>
        <v>0.0574985180794309</v>
      </c>
      <c r="P76" s="16">
        <f>AVERAGE(O41:O76)</f>
        <v>0.00652438248987217</v>
      </c>
      <c r="Q76" s="16"/>
    </row>
    <row r="77" ht="20.05" customHeight="1">
      <c r="F77" s="31"/>
      <c r="G77" s="17">
        <v>592.75</v>
      </c>
      <c r="H77" s="18">
        <v>12775</v>
      </c>
      <c r="I77" s="18">
        <v>13675</v>
      </c>
      <c r="J77" s="18">
        <v>3160</v>
      </c>
      <c r="K77" s="16">
        <f>G77/G74-1</f>
        <v>-0.0720156555772994</v>
      </c>
      <c r="L77" s="16">
        <f>H77/H74-1</f>
        <v>-0.0173076923076923</v>
      </c>
      <c r="M77" s="16"/>
      <c r="N77" s="16"/>
      <c r="O77" s="16">
        <f>I77/I74-1</f>
        <v>0.0139017608897127</v>
      </c>
      <c r="P77" s="16">
        <f>AVERAGE(O42:O77)</f>
        <v>0.0091925176603029</v>
      </c>
      <c r="Q77" s="16"/>
    </row>
    <row r="78" ht="20.05" customHeight="1">
      <c r="F78" s="31"/>
      <c r="G78" s="17">
        <v>610.25</v>
      </c>
      <c r="H78" s="18">
        <v>12550</v>
      </c>
      <c r="I78" s="18">
        <v>15292.5</v>
      </c>
      <c r="J78" s="18">
        <v>3860</v>
      </c>
      <c r="K78" s="16">
        <f>G78/G75-1</f>
        <v>-0.0690312738367658</v>
      </c>
      <c r="L78" s="16">
        <f>H78/H75-1</f>
        <v>-0.12998266897747</v>
      </c>
      <c r="M78" s="16"/>
      <c r="N78" s="16"/>
      <c r="O78" s="16">
        <f>I78/I75-1</f>
        <v>0.11319381255687</v>
      </c>
      <c r="P78" s="16">
        <f>AVERAGE(O43:O78)</f>
        <v>0.0152696021758703</v>
      </c>
      <c r="Q78" s="16"/>
    </row>
    <row r="79" ht="20.05" customHeight="1">
      <c r="F79" s="31"/>
      <c r="G79" s="17">
        <v>569.25</v>
      </c>
      <c r="H79" s="18">
        <v>11200</v>
      </c>
      <c r="I79" s="18">
        <v>14950</v>
      </c>
      <c r="J79" s="18">
        <v>4040</v>
      </c>
      <c r="K79" s="16">
        <f>G79/G76-1</f>
        <v>-0.0762677484787018</v>
      </c>
      <c r="L79" s="16">
        <f>H79/H76-1</f>
        <v>-0.168831168831169</v>
      </c>
      <c r="M79" s="16"/>
      <c r="N79" s="16"/>
      <c r="O79" s="16">
        <f>I79/I76-1</f>
        <v>0.117339312406577</v>
      </c>
      <c r="P79" s="16">
        <f>AVERAGE(O44:O79)</f>
        <v>0.01932749805581</v>
      </c>
      <c r="Q79" s="16"/>
    </row>
    <row r="80" ht="20.05" customHeight="1">
      <c r="F80" s="31"/>
      <c r="G80" s="17">
        <v>545</v>
      </c>
      <c r="H80" s="18">
        <v>10875</v>
      </c>
      <c r="I80" s="18">
        <v>14075</v>
      </c>
      <c r="J80" s="18">
        <v>4370</v>
      </c>
      <c r="K80" s="16">
        <f>G80/G77-1</f>
        <v>-0.08055672711935891</v>
      </c>
      <c r="L80" s="16">
        <f>H80/H77-1</f>
        <v>-0.148727984344423</v>
      </c>
      <c r="M80" s="16"/>
      <c r="N80" s="16"/>
      <c r="O80" s="16">
        <f>I80/I77-1</f>
        <v>0.0292504570383912</v>
      </c>
      <c r="P80" s="16">
        <f>AVERAGE(O45:O80)</f>
        <v>0.0258413447236829</v>
      </c>
      <c r="Q80" s="16"/>
    </row>
    <row r="81" ht="20.05" customHeight="1">
      <c r="F81" s="31"/>
      <c r="G81" s="17">
        <v>534</v>
      </c>
      <c r="H81" s="18">
        <v>13500</v>
      </c>
      <c r="I81" s="18">
        <v>12815</v>
      </c>
      <c r="J81" s="18">
        <v>3800</v>
      </c>
      <c r="K81" s="16">
        <f>G81/G78-1</f>
        <v>-0.124948791478902</v>
      </c>
      <c r="L81" s="16">
        <f>H81/H78-1</f>
        <v>0.0756972111553785</v>
      </c>
      <c r="M81" s="16"/>
      <c r="N81" s="16"/>
      <c r="O81" s="16">
        <f>I81/I78-1</f>
        <v>-0.162007520026157</v>
      </c>
      <c r="P81" s="16">
        <f>AVERAGE(O46:O81)</f>
        <v>0.0269386451080473</v>
      </c>
      <c r="Q81" s="16"/>
    </row>
    <row r="82" ht="20.05" customHeight="1">
      <c r="F82" s="31"/>
      <c r="G82" s="17">
        <v>524</v>
      </c>
      <c r="H82" s="18">
        <v>12400</v>
      </c>
      <c r="I82" s="18">
        <v>12547.5</v>
      </c>
      <c r="J82" s="18">
        <v>3710</v>
      </c>
      <c r="K82" s="16">
        <f>G82/G79-1</f>
        <v>-0.0794905577514273</v>
      </c>
      <c r="L82" s="16">
        <f>H82/H79-1</f>
        <v>0.107142857142857</v>
      </c>
      <c r="M82" s="16"/>
      <c r="N82" s="16"/>
      <c r="O82" s="16">
        <f>I82/I79-1</f>
        <v>-0.160702341137124</v>
      </c>
      <c r="P82" s="16">
        <f>AVERAGE(O47:O82)</f>
        <v>0.0263420433250363</v>
      </c>
      <c r="Q82" s="16"/>
    </row>
    <row r="83" ht="20.05" customHeight="1">
      <c r="F83" s="31"/>
      <c r="G83" s="17">
        <v>535</v>
      </c>
      <c r="H83" s="18">
        <v>12000</v>
      </c>
      <c r="I83" s="18">
        <v>11542.5</v>
      </c>
      <c r="J83" s="18">
        <v>2920</v>
      </c>
      <c r="K83" s="16">
        <f>G83/G80-1</f>
        <v>-0.018348623853211</v>
      </c>
      <c r="L83" s="16">
        <f>H83/H80-1</f>
        <v>0.103448275862069</v>
      </c>
      <c r="M83" s="51">
        <f>AVERAGE(K48:K83)</f>
        <v>0.009623642871590621</v>
      </c>
      <c r="N83" s="51">
        <f>AVERAGE(L48:L83)</f>
        <v>-0.0224216981117257</v>
      </c>
      <c r="O83" s="16">
        <f>I83/I80-1</f>
        <v>-0.179928952042629</v>
      </c>
      <c r="P83" s="16">
        <f>AVERAGE(O48:O83)</f>
        <v>0.0239320866316566</v>
      </c>
      <c r="Q83" s="16"/>
    </row>
    <row r="84" ht="20.05" customHeight="1">
      <c r="F84" s="31"/>
      <c r="G84" s="17">
        <v>487</v>
      </c>
      <c r="H84" s="18">
        <v>10975</v>
      </c>
      <c r="I84" s="18">
        <v>11097.5</v>
      </c>
      <c r="J84" s="18">
        <v>3030</v>
      </c>
      <c r="K84" s="16">
        <f>G84/G81-1</f>
        <v>-0.0880149812734082</v>
      </c>
      <c r="L84" s="16">
        <f>H84/H81-1</f>
        <v>-0.187037037037037</v>
      </c>
      <c r="M84" s="51">
        <f>AVERAGE(K49:K84)</f>
        <v>0.00611966423714249</v>
      </c>
      <c r="N84" s="51">
        <f>AVERAGE(L49:L84)</f>
        <v>-0.0273328908817587</v>
      </c>
      <c r="O84" s="16">
        <f>I84/I81-1</f>
        <v>-0.134022629730784</v>
      </c>
      <c r="P84" s="16">
        <f>AVERAGE(O49:O84)</f>
        <v>0.0234999829989877</v>
      </c>
      <c r="Q84" s="16"/>
    </row>
    <row r="85" ht="20.05" customHeight="1">
      <c r="F85" s="31"/>
      <c r="G85" s="17">
        <v>500</v>
      </c>
      <c r="H85" s="18">
        <v>11825</v>
      </c>
      <c r="I85" s="18">
        <v>10677.5</v>
      </c>
      <c r="J85" s="18">
        <v>3260</v>
      </c>
      <c r="K85" s="16">
        <f>G85/G82-1</f>
        <v>-0.0458015267175573</v>
      </c>
      <c r="L85" s="16">
        <f>H85/H82-1</f>
        <v>-0.0463709677419355</v>
      </c>
      <c r="M85" s="51">
        <f>AVERAGE(K50:K85)</f>
        <v>0.00271533206936976</v>
      </c>
      <c r="N85" s="51">
        <f>AVERAGE(L50:L85)</f>
        <v>-0.0251354814577467</v>
      </c>
      <c r="O85" s="16">
        <f>I85/I82-1</f>
        <v>-0.149033672046224</v>
      </c>
      <c r="P85" s="16">
        <f>AVERAGE(O50:O85)</f>
        <v>0.0234225747023042</v>
      </c>
      <c r="Q85" s="16"/>
    </row>
    <row r="86" ht="20.05" customHeight="1">
      <c r="F86" s="32">
        <v>2019</v>
      </c>
      <c r="G86" s="17">
        <v>560</v>
      </c>
      <c r="H86" s="18">
        <v>14000</v>
      </c>
      <c r="I86" s="18">
        <v>12467.5</v>
      </c>
      <c r="J86" s="18">
        <v>3850</v>
      </c>
      <c r="K86" s="16">
        <f>G86/G83-1</f>
        <v>0.0467289719626168</v>
      </c>
      <c r="L86" s="16">
        <f>H86/H83-1</f>
        <v>0.166666666666667</v>
      </c>
      <c r="M86" s="51">
        <f>AVERAGE(K51:K86)</f>
        <v>0.00394158998666127</v>
      </c>
      <c r="N86" s="51">
        <f>AVERAGE(L51:L86)</f>
        <v>-0.0165622921942294</v>
      </c>
      <c r="O86" s="16">
        <f>I86/I83-1</f>
        <v>0.0801386181503141</v>
      </c>
      <c r="P86" s="16">
        <f>AVERAGE(O51:O86)</f>
        <v>0.0295971096065904</v>
      </c>
      <c r="Q86" s="16"/>
    </row>
    <row r="87" ht="20.05" customHeight="1">
      <c r="F87" s="31"/>
      <c r="G87" s="17">
        <v>520</v>
      </c>
      <c r="H87" s="18">
        <v>12400</v>
      </c>
      <c r="I87" s="18">
        <v>13062.5</v>
      </c>
      <c r="J87" s="18">
        <v>3740</v>
      </c>
      <c r="K87" s="16">
        <f>G87/G84-1</f>
        <v>0.0677618069815195</v>
      </c>
      <c r="L87" s="16">
        <f>H87/H84-1</f>
        <v>0.129840546697039</v>
      </c>
      <c r="M87" s="51">
        <f>AVERAGE(K52:K87)</f>
        <v>0.000703997725353919</v>
      </c>
      <c r="N87" s="51">
        <f>AVERAGE(L52:L87)</f>
        <v>-0.00951413096977153</v>
      </c>
      <c r="O87" s="16">
        <f>I87/I84-1</f>
        <v>0.177066906961027</v>
      </c>
      <c r="P87" s="16">
        <f>AVERAGE(O52:O87)</f>
        <v>0.0356135706804968</v>
      </c>
      <c r="Q87" s="16"/>
    </row>
    <row r="88" ht="20.05" customHeight="1">
      <c r="F88" s="31"/>
      <c r="G88" s="17">
        <v>516</v>
      </c>
      <c r="H88" s="18">
        <v>11225</v>
      </c>
      <c r="I88" s="18">
        <v>12995</v>
      </c>
      <c r="J88" s="18">
        <v>3390</v>
      </c>
      <c r="K88" s="16">
        <f>G88/G85-1</f>
        <v>0.032</v>
      </c>
      <c r="L88" s="16">
        <f>H88/H85-1</f>
        <v>-0.0507399577167019</v>
      </c>
      <c r="M88" s="51">
        <f>AVERAGE(K53:K88)</f>
        <v>-0.00440820187339966</v>
      </c>
      <c r="N88" s="51">
        <f>AVERAGE(L53:L88)</f>
        <v>-0.0150415934705906</v>
      </c>
      <c r="O88" s="16">
        <f>I88/I85-1</f>
        <v>0.21704518848045</v>
      </c>
      <c r="P88" s="16">
        <f>AVERAGE(O53:O88)</f>
        <v>0.0426509858706877</v>
      </c>
      <c r="Q88" s="16"/>
    </row>
    <row r="89" ht="20.05" customHeight="1">
      <c r="F89" s="31"/>
      <c r="G89" s="17">
        <v>479</v>
      </c>
      <c r="H89" s="18">
        <v>10875</v>
      </c>
      <c r="I89" s="18">
        <v>12235</v>
      </c>
      <c r="J89" s="18">
        <v>3050</v>
      </c>
      <c r="K89" s="16">
        <f>G89/G86-1</f>
        <v>-0.144642857142857</v>
      </c>
      <c r="L89" s="16">
        <f>H89/H86-1</f>
        <v>-0.223214285714286</v>
      </c>
      <c r="M89" s="51">
        <f>AVERAGE(K54:K89)</f>
        <v>-0.0161989460826242</v>
      </c>
      <c r="N89" s="51">
        <f>AVERAGE(L54:L89)</f>
        <v>-0.0196559082089834</v>
      </c>
      <c r="O89" s="16">
        <f>I89/I86-1</f>
        <v>-0.0186484860637658</v>
      </c>
      <c r="P89" s="16">
        <f>AVERAGE(O54:O89)</f>
        <v>0.0394520938159448</v>
      </c>
      <c r="Q89" s="16"/>
    </row>
    <row r="90" ht="20.05" customHeight="1">
      <c r="F90" s="31"/>
      <c r="G90" s="17">
        <v>484</v>
      </c>
      <c r="H90" s="18">
        <v>10550</v>
      </c>
      <c r="I90" s="18">
        <v>11990</v>
      </c>
      <c r="J90" s="18">
        <v>2700</v>
      </c>
      <c r="K90" s="16">
        <f>G90/G87-1</f>
        <v>-0.06923076923076921</v>
      </c>
      <c r="L90" s="16">
        <f>H90/H87-1</f>
        <v>-0.149193548387097</v>
      </c>
      <c r="M90" s="51">
        <f>AVERAGE(K55:K90)</f>
        <v>-0.0203903006809262</v>
      </c>
      <c r="N90" s="51">
        <f>AVERAGE(L55:L90)</f>
        <v>-0.0224907898534228</v>
      </c>
      <c r="O90" s="16">
        <f>I90/I87-1</f>
        <v>-0.0821052631578947</v>
      </c>
      <c r="P90" s="16">
        <f>AVERAGE(O55:O90)</f>
        <v>0.0373836854837289</v>
      </c>
      <c r="Q90" s="16"/>
    </row>
    <row r="91" ht="20.05" customHeight="1">
      <c r="F91" s="31"/>
      <c r="G91" s="17">
        <v>480</v>
      </c>
      <c r="H91" s="18">
        <v>10400</v>
      </c>
      <c r="I91" s="18">
        <v>12675</v>
      </c>
      <c r="J91" s="18">
        <v>3120</v>
      </c>
      <c r="K91" s="16">
        <f>G91/G88-1</f>
        <v>-0.0697674418604651</v>
      </c>
      <c r="L91" s="16">
        <f>H91/H88-1</f>
        <v>-0.07349665924276171</v>
      </c>
      <c r="M91" s="51">
        <f>AVERAGE(K56:K91)</f>
        <v>-0.0216867903800908</v>
      </c>
      <c r="N91" s="51">
        <f>AVERAGE(L56:L91)</f>
        <v>-0.0203005052915178</v>
      </c>
      <c r="O91" s="16">
        <f>I91/I88-1</f>
        <v>-0.0246248557137361</v>
      </c>
      <c r="P91" s="16">
        <f>AVERAGE(O56:O91)</f>
        <v>0.0336913561746968</v>
      </c>
      <c r="Q91" s="16"/>
    </row>
    <row r="92" ht="20.05" customHeight="1">
      <c r="F92" s="31"/>
      <c r="G92" s="17">
        <v>482</v>
      </c>
      <c r="H92" s="18">
        <v>9975</v>
      </c>
      <c r="I92" s="18">
        <v>14552.5</v>
      </c>
      <c r="J92" s="18">
        <v>3030</v>
      </c>
      <c r="K92" s="16">
        <f>G92/G89-1</f>
        <v>0.00626304801670146</v>
      </c>
      <c r="L92" s="16">
        <f>H92/H89-1</f>
        <v>-0.0827586206896552</v>
      </c>
      <c r="M92" s="51">
        <f>AVERAGE(K57:K92)</f>
        <v>-0.0175856813344267</v>
      </c>
      <c r="N92" s="51">
        <f>AVERAGE(L57:L92)</f>
        <v>-0.0210765665362578</v>
      </c>
      <c r="O92" s="16">
        <f>I92/I89-1</f>
        <v>0.189415610952186</v>
      </c>
      <c r="P92" s="16">
        <f>AVERAGE(O57:O92)</f>
        <v>0.0353959903542629</v>
      </c>
      <c r="Q92" s="16"/>
    </row>
    <row r="93" ht="20.05" customHeight="1">
      <c r="F93" s="31"/>
      <c r="G93" s="17">
        <v>530</v>
      </c>
      <c r="H93" s="18">
        <v>10500</v>
      </c>
      <c r="I93" s="18">
        <v>17900</v>
      </c>
      <c r="J93" s="18">
        <v>3530</v>
      </c>
      <c r="K93" s="16">
        <f>G93/G90-1</f>
        <v>0.0950413223140496</v>
      </c>
      <c r="L93" s="16">
        <f>H93/H90-1</f>
        <v>-0.004739336492891</v>
      </c>
      <c r="M93" s="51">
        <f>AVERAGE(K58:K93)</f>
        <v>-0.015799801789089</v>
      </c>
      <c r="N93" s="51">
        <f>AVERAGE(L58:L93)</f>
        <v>-0.0272178400616306</v>
      </c>
      <c r="O93" s="16">
        <f>I93/I90-1</f>
        <v>0.492910758965805</v>
      </c>
      <c r="P93" s="16">
        <f>AVERAGE(O58:O93)</f>
        <v>0.0446859679927285</v>
      </c>
      <c r="Q93" s="16"/>
    </row>
    <row r="94" ht="20.05" customHeight="1">
      <c r="F94" s="31"/>
      <c r="G94" s="17">
        <v>540</v>
      </c>
      <c r="H94" s="18">
        <v>10775</v>
      </c>
      <c r="I94" s="18">
        <v>17110</v>
      </c>
      <c r="J94" s="18">
        <v>3510</v>
      </c>
      <c r="K94" s="16">
        <f>G94/G91-1</f>
        <v>0.125</v>
      </c>
      <c r="L94" s="16">
        <f>H94/H91-1</f>
        <v>0.0360576923076923</v>
      </c>
      <c r="M94" s="51">
        <f>AVERAGE(K59:K94)</f>
        <v>-0.0156495044507611</v>
      </c>
      <c r="N94" s="51">
        <f>AVERAGE(L59:L94)</f>
        <v>-0.0264524430908765</v>
      </c>
      <c r="O94" s="16">
        <f>I94/I91-1</f>
        <v>0.349901380670611</v>
      </c>
      <c r="P94" s="16">
        <f>AVERAGE(O59:O94)</f>
        <v>0.0511747904952771</v>
      </c>
      <c r="Q94" s="16"/>
    </row>
    <row r="95" ht="20.05" customHeight="1">
      <c r="F95" s="31"/>
      <c r="G95" s="17">
        <v>584</v>
      </c>
      <c r="H95" s="52">
        <v>11425</v>
      </c>
      <c r="I95" s="18">
        <v>16690</v>
      </c>
      <c r="J95" s="18">
        <v>3710</v>
      </c>
      <c r="K95" s="16">
        <f>G95/G92-1</f>
        <v>0.211618257261411</v>
      </c>
      <c r="L95" s="16">
        <f>H95/H92-1</f>
        <v>0.145363408521303</v>
      </c>
      <c r="M95" s="51">
        <f>AVERAGE(K60:K95)</f>
        <v>-0.0129693799426794</v>
      </c>
      <c r="N95" s="51">
        <f>AVERAGE(L60:L95)</f>
        <v>-0.0238513522411468</v>
      </c>
      <c r="O95" s="16">
        <f>I95/I92-1</f>
        <v>0.146881979041402</v>
      </c>
      <c r="P95" s="16">
        <f>AVERAGE(O60:O95)</f>
        <v>0.0558293329996586</v>
      </c>
      <c r="Q95" s="16"/>
    </row>
    <row r="96" ht="20.05" customHeight="1">
      <c r="F96" s="31"/>
      <c r="G96" s="17">
        <v>656</v>
      </c>
      <c r="H96" s="52">
        <v>12600</v>
      </c>
      <c r="I96" s="18">
        <v>13667.5</v>
      </c>
      <c r="J96" s="37">
        <v>3000</v>
      </c>
      <c r="K96" s="16">
        <f>G96/G93-1</f>
        <v>0.237735849056604</v>
      </c>
      <c r="L96" s="16">
        <f>H96/H93-1</f>
        <v>0.2</v>
      </c>
      <c r="M96" s="51">
        <f>AVERAGE(K61:K96)</f>
        <v>-0.0066005789805365</v>
      </c>
      <c r="N96" s="51">
        <f>AVERAGE(L61:L96)</f>
        <v>-0.0185498617262417</v>
      </c>
      <c r="O96" s="16">
        <f>I96/I93-1</f>
        <v>-0.23645251396648</v>
      </c>
      <c r="P96" s="16">
        <f>AVERAGE(O61:O96)</f>
        <v>0.045312231788524</v>
      </c>
      <c r="Q96" s="16"/>
    </row>
    <row r="97" ht="20.05" customHeight="1">
      <c r="F97" s="31"/>
      <c r="G97" s="17">
        <v>753</v>
      </c>
      <c r="H97" s="52">
        <v>14575</v>
      </c>
      <c r="I97" s="18">
        <v>14052.5</v>
      </c>
      <c r="J97" s="37">
        <v>3640</v>
      </c>
      <c r="K97" s="16">
        <f>G97/G94-1</f>
        <v>0.394444444444444</v>
      </c>
      <c r="L97" s="16">
        <f>H97/H94-1</f>
        <v>0.352668213457077</v>
      </c>
      <c r="M97" s="51">
        <f>AVERAGE(K62:K97)</f>
        <v>0.0035799369701036</v>
      </c>
      <c r="N97" s="51">
        <f>AVERAGE(L62:L97)</f>
        <v>-0.0124072605186322</v>
      </c>
      <c r="O97" s="16">
        <f>I97/I94-1</f>
        <v>-0.178696668614845</v>
      </c>
      <c r="P97" s="16">
        <f>AVERAGE(O62:O97)</f>
        <v>0.0415443863843005</v>
      </c>
      <c r="Q97" s="16"/>
    </row>
    <row r="98" ht="20.05" customHeight="1">
      <c r="F98" s="32">
        <v>2020</v>
      </c>
      <c r="G98" s="17">
        <v>645</v>
      </c>
      <c r="H98" s="52">
        <v>11875</v>
      </c>
      <c r="I98" s="18">
        <v>12777.5</v>
      </c>
      <c r="J98" s="37">
        <v>3160</v>
      </c>
      <c r="K98" s="16">
        <f>G98/G95-1</f>
        <v>0.104452054794521</v>
      </c>
      <c r="L98" s="16">
        <f>H98/H95-1</f>
        <v>0.0393873085339168</v>
      </c>
      <c r="M98" s="51">
        <f>AVERAGE(K63:K98)</f>
        <v>0.00316399693445196</v>
      </c>
      <c r="N98" s="51">
        <f>AVERAGE(L63:L98)</f>
        <v>-0.0122694527679178</v>
      </c>
      <c r="O98" s="16">
        <f>I98/I95-1</f>
        <v>-0.234421809466747</v>
      </c>
      <c r="P98" s="16">
        <f>AVERAGE(O63:O98)</f>
        <v>0.0362459057291</v>
      </c>
      <c r="Q98" s="16"/>
    </row>
    <row r="99" ht="20.05" customHeight="1">
      <c r="F99" s="31"/>
      <c r="G99" s="17">
        <v>558</v>
      </c>
      <c r="H99" s="52">
        <v>9800</v>
      </c>
      <c r="I99" s="18">
        <v>12220</v>
      </c>
      <c r="J99" s="37">
        <v>2450</v>
      </c>
      <c r="K99" s="16">
        <f>G99/G96-1</f>
        <v>-0.149390243902439</v>
      </c>
      <c r="L99" s="16">
        <f>H99/H96-1</f>
        <v>-0.222222222222222</v>
      </c>
      <c r="M99" s="51">
        <f>AVERAGE(K64:K99)</f>
        <v>-0.000270557933484783</v>
      </c>
      <c r="N99" s="51">
        <f>AVERAGE(L64:L99)</f>
        <v>-0.0157568273529761</v>
      </c>
      <c r="O99" s="16">
        <f>I99/I96-1</f>
        <v>-0.105908176330712</v>
      </c>
      <c r="P99" s="16">
        <f>AVERAGE(O64:O99)</f>
        <v>0.0338077056963332</v>
      </c>
      <c r="Q99" s="16"/>
    </row>
    <row r="100" ht="20.05" customHeight="1">
      <c r="F100" s="31"/>
      <c r="G100" s="17">
        <v>591</v>
      </c>
      <c r="H100" s="52">
        <v>5400</v>
      </c>
      <c r="I100" s="18">
        <v>11470</v>
      </c>
      <c r="J100" s="37">
        <v>2160</v>
      </c>
      <c r="K100" s="16">
        <f>G100/G97-1</f>
        <v>-0.215139442231076</v>
      </c>
      <c r="L100" s="16">
        <f>H100/H97-1</f>
        <v>-0.629502572898799</v>
      </c>
      <c r="M100" s="51">
        <f>AVERAGE(K65:K100)</f>
        <v>-0.00346559751464787</v>
      </c>
      <c r="N100" s="51">
        <f>AVERAGE(L65:L100)</f>
        <v>-0.0301381912549092</v>
      </c>
      <c r="O100" s="16">
        <f>I100/I97-1</f>
        <v>-0.183775128980608</v>
      </c>
      <c r="P100" s="16">
        <f>AVERAGE(O65:O100)</f>
        <v>0.0287995073929044</v>
      </c>
      <c r="Q100" s="16"/>
    </row>
    <row r="101" ht="20.05" customHeight="1">
      <c r="F101" s="31"/>
      <c r="G101" s="17">
        <v>488</v>
      </c>
      <c r="H101" s="52">
        <v>6100</v>
      </c>
      <c r="I101" s="18">
        <v>12132.5</v>
      </c>
      <c r="J101" s="37">
        <v>2570</v>
      </c>
      <c r="K101" s="16">
        <f>G101/G98-1</f>
        <v>-0.243410852713178</v>
      </c>
      <c r="L101" s="16">
        <f>H101/H98-1</f>
        <v>-0.486315789473684</v>
      </c>
      <c r="M101" s="51">
        <f>AVERAGE(K66:K101)</f>
        <v>-0.00609414908365276</v>
      </c>
      <c r="N101" s="51">
        <f>AVERAGE(L66:L101)</f>
        <v>-0.0412257622690796</v>
      </c>
      <c r="O101" s="16">
        <f>I101/I98-1</f>
        <v>-0.0504793582469184</v>
      </c>
      <c r="P101" s="16">
        <f>AVERAGE(O66:O101)</f>
        <v>0.0288262727448216</v>
      </c>
      <c r="Q101" s="16"/>
    </row>
    <row r="102" ht="20.05" customHeight="1">
      <c r="F102" s="31"/>
      <c r="G102" s="17">
        <v>546</v>
      </c>
      <c r="H102" s="52">
        <v>7400</v>
      </c>
      <c r="I102" s="18">
        <v>12375</v>
      </c>
      <c r="J102" s="37">
        <v>2780</v>
      </c>
      <c r="K102" s="16">
        <f>G102/G99-1</f>
        <v>-0.021505376344086</v>
      </c>
      <c r="L102" s="16">
        <f>H102/H99-1</f>
        <v>-0.244897959183673</v>
      </c>
      <c r="M102" s="51">
        <f>AVERAGE(K67:K102)</f>
        <v>-0.00624469312419074</v>
      </c>
      <c r="N102" s="51">
        <f>AVERAGE(L67:L102)</f>
        <v>-0.0468207538889159</v>
      </c>
      <c r="O102" s="16">
        <f>I102/I99-1</f>
        <v>0.012684124386252</v>
      </c>
      <c r="P102" s="16">
        <f>AVERAGE(O67:O102)</f>
        <v>0.0342769020803215</v>
      </c>
      <c r="Q102" s="16"/>
    </row>
    <row r="103" ht="20.05" customHeight="1">
      <c r="F103" s="31"/>
      <c r="G103" s="17">
        <v>555</v>
      </c>
      <c r="H103" s="52">
        <v>8325</v>
      </c>
      <c r="I103" s="18">
        <v>12797.5</v>
      </c>
      <c r="J103" s="37">
        <v>2800</v>
      </c>
      <c r="K103" s="16">
        <f>G103/G100-1</f>
        <v>-0.0609137055837563</v>
      </c>
      <c r="L103" s="16">
        <f>H103/H100-1</f>
        <v>0.541666666666667</v>
      </c>
      <c r="M103" s="51">
        <f>AVERAGE(K68:K103)</f>
        <v>-0.00637546025171247</v>
      </c>
      <c r="N103" s="51">
        <f>AVERAGE(L68:L103)</f>
        <v>-0.0314016015150655</v>
      </c>
      <c r="O103" s="16">
        <f>I103/I100-1</f>
        <v>0.115736704446382</v>
      </c>
      <c r="P103" s="16">
        <f>AVERAGE(O68:O103)</f>
        <v>0.0392933127128258</v>
      </c>
      <c r="Q103" s="16"/>
    </row>
    <row r="104" ht="20.05" customHeight="1">
      <c r="F104" s="31"/>
      <c r="G104" s="17">
        <v>655</v>
      </c>
      <c r="H104" s="18">
        <v>10133.80957</v>
      </c>
      <c r="I104" s="18">
        <v>13762.5</v>
      </c>
      <c r="J104" s="37">
        <v>3420</v>
      </c>
      <c r="K104" s="16">
        <f>G104/G101-1</f>
        <v>0.342213114754098</v>
      </c>
      <c r="L104" s="16">
        <f>H104/H101-1</f>
        <v>0.661280257377049</v>
      </c>
      <c r="M104" s="51">
        <f>AVERAGE(K69:K104)</f>
        <v>0.00296265184313724</v>
      </c>
      <c r="N104" s="51">
        <f>AVERAGE(L69:L104)</f>
        <v>-0.0136596344891598</v>
      </c>
      <c r="O104" s="16">
        <f>I104/I101-1</f>
        <v>0.13434988666804</v>
      </c>
      <c r="P104" s="16">
        <f>AVERAGE(O69:O104)</f>
        <v>0.0407545309051038</v>
      </c>
      <c r="Q104" s="16"/>
    </row>
    <row r="105" ht="20.05" customHeight="1">
      <c r="F105" s="31"/>
      <c r="G105" s="17">
        <v>682</v>
      </c>
      <c r="H105" s="18">
        <v>10133.80957</v>
      </c>
      <c r="I105" s="18">
        <v>15327.5</v>
      </c>
      <c r="J105" s="37">
        <v>3790</v>
      </c>
      <c r="K105" s="16">
        <f>G105/G102-1</f>
        <v>0.249084249084249</v>
      </c>
      <c r="L105" s="16">
        <f>H105/H102-1</f>
        <v>0.369433725675676</v>
      </c>
      <c r="M105" s="51">
        <f>AVERAGE(K70:K105)</f>
        <v>0.0105087942666639</v>
      </c>
      <c r="N105" s="51">
        <f>AVERAGE(L70:L105)</f>
        <v>-0.00427171242785026</v>
      </c>
      <c r="O105" s="16">
        <f>I105/I102-1</f>
        <v>0.238585858585859</v>
      </c>
      <c r="P105" s="16">
        <f>AVERAGE(O70:O105)</f>
        <v>0.0386087612535164</v>
      </c>
      <c r="Q105" s="16"/>
    </row>
    <row r="106" ht="20.05" customHeight="1">
      <c r="F106" s="31"/>
      <c r="G106" s="17">
        <v>683</v>
      </c>
      <c r="H106" s="18">
        <v>10550</v>
      </c>
      <c r="I106" s="18">
        <v>14497.5</v>
      </c>
      <c r="J106" s="37">
        <v>3560</v>
      </c>
      <c r="K106" s="16">
        <f>G106/G103-1</f>
        <v>0.230630630630631</v>
      </c>
      <c r="L106" s="16">
        <f>H106/H103-1</f>
        <v>0.267267267267267</v>
      </c>
      <c r="M106" s="51">
        <f>AVERAGE(K71:K106)</f>
        <v>0.0150886222335886</v>
      </c>
      <c r="N106" s="51">
        <f>AVERAGE(L71:L106)</f>
        <v>0.002821690498886</v>
      </c>
      <c r="O106" s="16">
        <f>I106/I103-1</f>
        <v>0.132838445008791</v>
      </c>
      <c r="P106" s="16">
        <f>AVERAGE(O71:O106)</f>
        <v>0.0388829923843213</v>
      </c>
      <c r="Q106" s="16"/>
    </row>
    <row r="107" ht="20.05" customHeight="1">
      <c r="F107" s="31"/>
      <c r="G107" s="17">
        <v>782</v>
      </c>
      <c r="H107" s="18">
        <v>10875</v>
      </c>
      <c r="I107" s="18">
        <v>15210</v>
      </c>
      <c r="J107" s="18">
        <v>4050</v>
      </c>
      <c r="K107" s="16">
        <f>G107/G104-1</f>
        <v>0.193893129770992</v>
      </c>
      <c r="L107" s="16">
        <f>H107/H104-1</f>
        <v>0.0731403550540569</v>
      </c>
      <c r="M107" s="51">
        <f>AVERAGE(K72:K107)</f>
        <v>0.0189066215015356</v>
      </c>
      <c r="N107" s="51">
        <f>AVERAGE(L72:L107)</f>
        <v>0.00513633250637701</v>
      </c>
      <c r="O107" s="16">
        <f>I107/I104-1</f>
        <v>0.105177111716621</v>
      </c>
      <c r="P107" s="16">
        <f>AVERAGE(O72:O107)</f>
        <v>0.0358264803996556</v>
      </c>
      <c r="Q107" s="16"/>
    </row>
    <row r="108" ht="20.05" customHeight="1">
      <c r="F108" s="31"/>
      <c r="G108" s="17">
        <v>846</v>
      </c>
      <c r="H108" s="18">
        <v>12325</v>
      </c>
      <c r="I108" s="18">
        <v>16052.5</v>
      </c>
      <c r="J108" s="18">
        <v>4610</v>
      </c>
      <c r="K108" s="16">
        <f>G108/G105-1</f>
        <v>0.240469208211144</v>
      </c>
      <c r="L108" s="16">
        <f>H108/H105-1</f>
        <v>0.216225735727931</v>
      </c>
      <c r="M108" s="51">
        <f>AVERAGE(K73:K108)</f>
        <v>0.0263606922769923</v>
      </c>
      <c r="N108" s="51">
        <f>AVERAGE(L73:L108)</f>
        <v>0.0128375181975013</v>
      </c>
      <c r="O108" s="16">
        <f>I108/I105-1</f>
        <v>0.0473006034904583</v>
      </c>
      <c r="P108" s="16">
        <f>AVERAGE(O73:O108)</f>
        <v>0.0386436401551677</v>
      </c>
      <c r="Q108" s="16"/>
    </row>
    <row r="109" ht="20.05" customHeight="1">
      <c r="F109" s="31"/>
      <c r="G109" s="17">
        <v>968</v>
      </c>
      <c r="H109" s="18">
        <v>11500</v>
      </c>
      <c r="I109" s="18">
        <v>17572.5</v>
      </c>
      <c r="J109" s="18">
        <v>5075</v>
      </c>
      <c r="K109" s="16">
        <f>G109/G106-1</f>
        <v>0.417276720351391</v>
      </c>
      <c r="L109" s="16">
        <f>H109/H106-1</f>
        <v>0.0900473933649289</v>
      </c>
      <c r="M109" s="51">
        <f>AVERAGE(K74:K109)</f>
        <v>0.039687149703215</v>
      </c>
      <c r="N109" s="51">
        <f>AVERAGE(L74:L109)</f>
        <v>0.0185601231952666</v>
      </c>
      <c r="O109" s="16">
        <f>I109/I106-1</f>
        <v>0.212105535437144</v>
      </c>
      <c r="P109" s="51">
        <f>AVERAGE(O74:O109)</f>
        <v>0.0389205226056189</v>
      </c>
      <c r="Q109" s="16"/>
    </row>
    <row r="110" ht="20.05" customHeight="1">
      <c r="F110" s="32">
        <v>2021</v>
      </c>
      <c r="G110" s="17">
        <v>988</v>
      </c>
      <c r="H110" s="18">
        <v>12975</v>
      </c>
      <c r="I110" s="18">
        <v>17587</v>
      </c>
      <c r="J110" s="18">
        <v>5700</v>
      </c>
      <c r="K110" s="23"/>
      <c r="L110" s="16">
        <f>H110/H107-1</f>
        <v>0.193103448275862</v>
      </c>
      <c r="M110" s="18"/>
      <c r="N110" s="18"/>
      <c r="O110" s="18"/>
      <c r="P110" s="18"/>
      <c r="Q110" s="18"/>
    </row>
  </sheetData>
  <mergeCells count="2">
    <mergeCell ref="B2:E2"/>
    <mergeCell ref="F24:Q24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92188" style="53" customWidth="1"/>
    <col min="2" max="9" width="13.1406" style="53" customWidth="1"/>
    <col min="10" max="16384" width="16.3516" style="53" customWidth="1"/>
  </cols>
  <sheetData>
    <row r="1" ht="22.25" customHeight="1"/>
    <row r="2" ht="27.65" customHeight="1">
      <c r="B2" t="s" s="2">
        <v>54</v>
      </c>
      <c r="C2" s="2"/>
      <c r="D2" s="2"/>
      <c r="E2" s="2"/>
      <c r="F2" s="2"/>
      <c r="G2" s="2"/>
      <c r="H2" s="2"/>
      <c r="I2" s="2"/>
    </row>
    <row r="3" ht="20.25" customHeight="1">
      <c r="B3" t="s" s="5">
        <v>1</v>
      </c>
      <c r="C3" t="s" s="5">
        <v>11</v>
      </c>
      <c r="D3" t="s" s="5">
        <v>58</v>
      </c>
      <c r="E3" t="s" s="5">
        <v>69</v>
      </c>
      <c r="F3" t="s" s="5">
        <v>11</v>
      </c>
      <c r="G3" t="s" s="5">
        <v>58</v>
      </c>
      <c r="H3" t="s" s="5">
        <v>69</v>
      </c>
      <c r="I3" s="4"/>
    </row>
    <row r="4" ht="20.25" customHeight="1">
      <c r="B4" s="26">
        <v>2003</v>
      </c>
      <c r="C4" s="36"/>
      <c r="D4" s="29"/>
      <c r="E4" s="29">
        <f>C4+D4</f>
        <v>0</v>
      </c>
      <c r="F4" s="29">
        <f>C4</f>
        <v>0</v>
      </c>
      <c r="G4" s="29">
        <f>D4</f>
        <v>0</v>
      </c>
      <c r="H4" s="29">
        <f>E4</f>
        <v>0</v>
      </c>
      <c r="I4" s="8"/>
    </row>
    <row r="5" ht="20.05" customHeight="1">
      <c r="B5" s="32">
        <v>2004</v>
      </c>
      <c r="C5" s="17">
        <v>-76.925</v>
      </c>
      <c r="D5" s="18">
        <v>-49.297</v>
      </c>
      <c r="E5" s="18">
        <f>C5+D5</f>
        <v>-126.222</v>
      </c>
      <c r="F5" s="18">
        <f>C5+F4</f>
        <v>-76.925</v>
      </c>
      <c r="G5" s="18">
        <f>D5+G4</f>
        <v>-49.297</v>
      </c>
      <c r="H5" s="18">
        <f>E5+H4</f>
        <v>-126.222</v>
      </c>
      <c r="I5" s="23"/>
    </row>
    <row r="6" ht="20.05" customHeight="1">
      <c r="B6" s="32">
        <v>2005</v>
      </c>
      <c r="C6" s="17">
        <v>-76.925</v>
      </c>
      <c r="D6" s="18">
        <v>-121.233</v>
      </c>
      <c r="E6" s="18">
        <f>C6+D6</f>
        <v>-198.158</v>
      </c>
      <c r="F6" s="18">
        <f>C6+F5</f>
        <v>-153.85</v>
      </c>
      <c r="G6" s="18">
        <f>D6+G5</f>
        <v>-170.53</v>
      </c>
      <c r="H6" s="18">
        <f>E6+H5</f>
        <v>-324.38</v>
      </c>
      <c r="I6" s="23"/>
    </row>
    <row r="7" ht="20.05" customHeight="1">
      <c r="B7" s="32">
        <v>2006</v>
      </c>
      <c r="C7" s="17">
        <v>-38.45</v>
      </c>
      <c r="D7" s="18">
        <v>-109.858</v>
      </c>
      <c r="E7" s="18">
        <f>C7+D7</f>
        <v>-148.308</v>
      </c>
      <c r="F7" s="18">
        <f>C7+F6</f>
        <v>-192.3</v>
      </c>
      <c r="G7" s="18">
        <f>D7+G6</f>
        <v>-280.388</v>
      </c>
      <c r="H7" s="18">
        <f>E7+H6</f>
        <v>-472.688</v>
      </c>
      <c r="I7" s="23"/>
    </row>
    <row r="8" ht="20.05" customHeight="1">
      <c r="B8" s="32">
        <v>2007</v>
      </c>
      <c r="C8" s="17"/>
      <c r="D8" s="18">
        <v>-1468.375</v>
      </c>
      <c r="E8" s="18">
        <f>C8+D8</f>
        <v>-1468.375</v>
      </c>
      <c r="F8" s="18">
        <f>C8+F7</f>
        <v>-192.3</v>
      </c>
      <c r="G8" s="18">
        <f>D8+G7</f>
        <v>-1748.763</v>
      </c>
      <c r="H8" s="18">
        <f>E8+H7</f>
        <v>-1941.063</v>
      </c>
      <c r="I8" s="23"/>
    </row>
    <row r="9" ht="20.05" customHeight="1">
      <c r="B9" s="32">
        <v>2008</v>
      </c>
      <c r="C9" s="17"/>
      <c r="D9" s="18">
        <v>-225.13</v>
      </c>
      <c r="E9" s="18">
        <f>C9+D9</f>
        <v>-225.13</v>
      </c>
      <c r="F9" s="18">
        <f>C9+F8</f>
        <v>-192.3</v>
      </c>
      <c r="G9" s="18">
        <f>D9+G8</f>
        <v>-1973.893</v>
      </c>
      <c r="H9" s="18">
        <f>E9+H8</f>
        <v>-2166.193</v>
      </c>
      <c r="I9" s="23"/>
    </row>
    <row r="10" ht="20.05" customHeight="1">
      <c r="B10" s="32">
        <v>2009</v>
      </c>
      <c r="C10" s="17">
        <v>150</v>
      </c>
      <c r="D10" s="18">
        <v>-106.912</v>
      </c>
      <c r="E10" s="18">
        <f>C10+D10</f>
        <v>43.088</v>
      </c>
      <c r="F10" s="18">
        <f>C10+F9</f>
        <v>-42.3</v>
      </c>
      <c r="G10" s="18">
        <f>D10+G9</f>
        <v>-2080.805</v>
      </c>
      <c r="H10" s="18">
        <f>E10+H9</f>
        <v>-2123.105</v>
      </c>
      <c r="I10" s="23"/>
    </row>
    <row r="11" ht="20.05" customHeight="1">
      <c r="B11" s="32">
        <v>2010</v>
      </c>
      <c r="C11" s="17"/>
      <c r="D11" s="18">
        <v>-338.329</v>
      </c>
      <c r="E11" s="18">
        <f>C11+D11</f>
        <v>-338.329</v>
      </c>
      <c r="F11" s="18">
        <f>C11+F10</f>
        <v>-42.3</v>
      </c>
      <c r="G11" s="18">
        <f>D11+G10</f>
        <v>-2419.134</v>
      </c>
      <c r="H11" s="18">
        <f>E11+H10</f>
        <v>-2461.434</v>
      </c>
      <c r="I11" s="23"/>
    </row>
    <row r="12" ht="20.05" customHeight="1">
      <c r="B12" s="32">
        <v>2011</v>
      </c>
      <c r="C12" s="17">
        <v>150</v>
      </c>
      <c r="D12" s="18">
        <v>-242.606</v>
      </c>
      <c r="E12" s="18">
        <f>C12+D12</f>
        <v>-92.60599999999999</v>
      </c>
      <c r="F12" s="18">
        <f>C12+F11</f>
        <v>107.7</v>
      </c>
      <c r="G12" s="18">
        <f>D12+G11</f>
        <v>-2661.74</v>
      </c>
      <c r="H12" s="18">
        <f>E12+H11</f>
        <v>-2554.04</v>
      </c>
      <c r="I12" s="23"/>
    </row>
    <row r="13" ht="20.05" customHeight="1">
      <c r="B13" s="32">
        <v>2012</v>
      </c>
      <c r="C13" s="17">
        <v>-37.5</v>
      </c>
      <c r="D13" s="18">
        <v>-110.46</v>
      </c>
      <c r="E13" s="18">
        <f>C13+D13</f>
        <v>-147.96</v>
      </c>
      <c r="F13" s="18">
        <f>C13+F12</f>
        <v>70.2</v>
      </c>
      <c r="G13" s="18">
        <f>D13+G12</f>
        <v>-2772.2</v>
      </c>
      <c r="H13" s="18">
        <f>E13+H12</f>
        <v>-2702</v>
      </c>
      <c r="I13" s="23"/>
    </row>
    <row r="14" ht="20.05" customHeight="1">
      <c r="B14" s="32">
        <v>2013</v>
      </c>
      <c r="C14" s="17">
        <v>-37.5</v>
      </c>
      <c r="D14" s="18">
        <v>-49.314</v>
      </c>
      <c r="E14" s="18">
        <f>C14+D14</f>
        <v>-86.81399999999999</v>
      </c>
      <c r="F14" s="18">
        <f>C14+F13</f>
        <v>32.7</v>
      </c>
      <c r="G14" s="18">
        <f>D14+G13</f>
        <v>-2821.514</v>
      </c>
      <c r="H14" s="18">
        <f>E14+H13</f>
        <v>-2788.814</v>
      </c>
      <c r="I14" s="23"/>
    </row>
    <row r="15" ht="20.05" customHeight="1">
      <c r="B15" s="32">
        <v>2014</v>
      </c>
      <c r="C15" s="17">
        <v>-37.5</v>
      </c>
      <c r="D15" s="18">
        <v>-99.55200000000001</v>
      </c>
      <c r="E15" s="18">
        <f>C15+D15</f>
        <v>-137.052</v>
      </c>
      <c r="F15" s="18">
        <f>C15+F14</f>
        <v>-4.8</v>
      </c>
      <c r="G15" s="18">
        <f>D15+G14</f>
        <v>-2921.066</v>
      </c>
      <c r="H15" s="18">
        <f>E15+H14</f>
        <v>-2925.866</v>
      </c>
      <c r="I15" s="23"/>
    </row>
    <row r="16" ht="20.05" customHeight="1">
      <c r="B16" s="32">
        <v>2015</v>
      </c>
      <c r="C16" s="17">
        <v>-37.5</v>
      </c>
      <c r="D16" s="18">
        <v>-0.036</v>
      </c>
      <c r="E16" s="18">
        <f>C16+D16</f>
        <v>-37.536</v>
      </c>
      <c r="F16" s="18">
        <f>C16+F15</f>
        <v>-42.3</v>
      </c>
      <c r="G16" s="18">
        <f>D16+G15</f>
        <v>-2921.102</v>
      </c>
      <c r="H16" s="18">
        <f>E16+H15</f>
        <v>-2963.402</v>
      </c>
      <c r="I16" s="23"/>
    </row>
    <row r="17" ht="20.05" customHeight="1">
      <c r="B17" s="32">
        <v>2016</v>
      </c>
      <c r="C17" s="17">
        <v>-37.5</v>
      </c>
      <c r="D17" s="18">
        <v>-0.008</v>
      </c>
      <c r="E17" s="18">
        <f>C17+D17</f>
        <v>-37.508</v>
      </c>
      <c r="F17" s="18">
        <f>C17+F16</f>
        <v>-79.8</v>
      </c>
      <c r="G17" s="18">
        <f>D17+G16</f>
        <v>-2921.11</v>
      </c>
      <c r="H17" s="18">
        <f>E17+H16</f>
        <v>-3000.91</v>
      </c>
      <c r="I17" s="23"/>
    </row>
    <row r="18" ht="20.05" customHeight="1">
      <c r="B18" s="32">
        <v>2017</v>
      </c>
      <c r="C18" s="17">
        <v>-37.5</v>
      </c>
      <c r="D18" s="18"/>
      <c r="E18" s="18">
        <f>C18+D18</f>
        <v>-37.5</v>
      </c>
      <c r="F18" s="18">
        <f>C18+F17</f>
        <v>-117.3</v>
      </c>
      <c r="G18" s="18">
        <f>D18+G17</f>
        <v>-2921.11</v>
      </c>
      <c r="H18" s="18">
        <f>E18+H17</f>
        <v>-3038.41</v>
      </c>
      <c r="I18" s="23"/>
    </row>
    <row r="19" ht="20.05" customHeight="1">
      <c r="B19" s="32">
        <v>2018</v>
      </c>
      <c r="C19" s="17">
        <v>-37.5</v>
      </c>
      <c r="D19" s="18"/>
      <c r="E19" s="18">
        <f>C19+D19</f>
        <v>-37.5</v>
      </c>
      <c r="F19" s="18">
        <f>C19+F18</f>
        <v>-154.8</v>
      </c>
      <c r="G19" s="18">
        <f>D19+G18</f>
        <v>-2921.11</v>
      </c>
      <c r="H19" s="18">
        <f>E19+H18</f>
        <v>-3075.91</v>
      </c>
      <c r="I19" s="23"/>
    </row>
    <row r="20" ht="20.05" customHeight="1">
      <c r="B20" s="32">
        <v>2019</v>
      </c>
      <c r="C20" s="17">
        <v>-37.5</v>
      </c>
      <c r="D20" s="18"/>
      <c r="E20" s="18">
        <f>C20+D20</f>
        <v>-37.5</v>
      </c>
      <c r="F20" s="18">
        <f>C20+F19</f>
        <v>-192.3</v>
      </c>
      <c r="G20" s="18">
        <f>D20+G19</f>
        <v>-2921.11</v>
      </c>
      <c r="H20" s="18">
        <f>E20+H19</f>
        <v>-3113.41</v>
      </c>
      <c r="I20" s="22">
        <f>AVERAGE(E5:E22)*14</f>
        <v>-2447.285555555560</v>
      </c>
    </row>
    <row r="21" ht="20.05" customHeight="1">
      <c r="B21" s="32">
        <v>2020</v>
      </c>
      <c r="C21" s="17">
        <v>0</v>
      </c>
      <c r="D21" s="18"/>
      <c r="E21" s="18">
        <f>C21+D21</f>
        <v>0</v>
      </c>
      <c r="F21" s="18">
        <f>C21+F20</f>
        <v>-192.3</v>
      </c>
      <c r="G21" s="18">
        <f>D21+G20</f>
        <v>-2921.11</v>
      </c>
      <c r="H21" s="18">
        <f>E21+H20</f>
        <v>-3113.41</v>
      </c>
      <c r="I21" s="22">
        <f>AVERAGE(E18:E22)*14</f>
        <v>-407.68</v>
      </c>
    </row>
    <row r="22" ht="20.05" customHeight="1">
      <c r="B22" s="32">
        <v>2021</v>
      </c>
      <c r="C22" s="17">
        <f>SUM('Cashflow '!H28:H31)</f>
        <v>0</v>
      </c>
      <c r="D22" s="18">
        <f>SUM('Cashflow '!I28:I31)</f>
        <v>-33.1</v>
      </c>
      <c r="E22" s="18">
        <f>C22+D22</f>
        <v>-33.1</v>
      </c>
      <c r="F22" s="18">
        <f>C22+F21</f>
        <v>-192.3</v>
      </c>
      <c r="G22" s="18">
        <f>D22+G21</f>
        <v>-2954.21</v>
      </c>
      <c r="H22" s="18">
        <f>E22+H21</f>
        <v>-3146.51</v>
      </c>
      <c r="I22" s="22">
        <f>E22*14</f>
        <v>-463.4</v>
      </c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