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" sheetId="6" r:id="rId9"/>
  </sheets>
</workbook>
</file>

<file path=xl/sharedStrings.xml><?xml version="1.0" encoding="utf-8"?>
<sst xmlns="http://schemas.openxmlformats.org/spreadsheetml/2006/main" uniqueCount="57">
  <si>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</si>
  <si>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</si>
  <si>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</si>
  <si>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</si>
  <si>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</si>
  <si>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</si>
  <si>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</si>
  <si>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</si>
  <si>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</si>
  <si>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</si>
  <si>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</si>
  <si>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</si>
  <si>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</si>
  <si>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</si>
  <si>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</si>
  <si>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</si>
  <si>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</si>
  <si>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</si>
  <si>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</si>
  <si>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</si>
  <si>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</si>
  <si>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</si>
  <si>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</si>
  <si>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</si>
  <si>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</si>
  <si>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</si>
  <si>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</si>
  <si>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</si>
  <si>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</si>
  <si>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</si>
  <si>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</si>
  <si>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</si>
  <si>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 xml:space="preserve">Yield 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</si>
  <si>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</si>
  <si>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</si>
  <si>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</si>
  <si>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</si>
  <si>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</si>
  <si>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</si>
  <si>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</si>
  <si>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</si>
  <si>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</si>
  <si>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 </t>
  </si>
  <si>
    <t>Non cash costs</t>
  </si>
  <si>
    <t>Others</t>
  </si>
  <si>
    <t>Profit</t>
  </si>
  <si>
    <t xml:space="preserve">Sales growth </t>
  </si>
  <si>
    <t>Receipts</t>
  </si>
  <si>
    <t xml:space="preserve">Free cashflow </t>
  </si>
  <si>
    <t>Capital</t>
  </si>
  <si>
    <t>Cash</t>
  </si>
  <si>
    <t>Assets</t>
  </si>
  <si>
    <t>Check</t>
  </si>
  <si>
    <t>Share price</t>
  </si>
  <si>
    <t>HRUM</t>
  </si>
  <si>
    <t xml:space="preserve">Previous 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</si>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</sst>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  <font>
      <b val="1"/>
      <sz val="25"/>
      <color indexed="8"/>
      <name val="Helvetica Neue"/>
    </font>
    <font>
      <b val="1"/>
      <sz val="25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0" fontId="4" borderId="4" applyNumberFormat="0" applyFont="1" applyFill="0" applyBorder="1" applyAlignment="1" applyProtection="0">
      <alignment horizontal="right"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b8b8b8"/>
      <rgbColor rgb="fffefffe"/>
      <rgbColor rgb="ff919191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0073"/>
          <c:y val="0.0446026"/>
          <c:w val="0.871032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'Capital'!$F$3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'Capital'!$F$4:$F$19</c:f>
              <c:numCache>
                <c:ptCount val="16"/>
                <c:pt idx="0">
                  <c:v>3.038545</c:v>
                </c:pt>
                <c:pt idx="1">
                  <c:v>36.593727</c:v>
                </c:pt>
                <c:pt idx="2">
                  <c:v>28.593545</c:v>
                </c:pt>
                <c:pt idx="3">
                  <c:v>27.621909</c:v>
                </c:pt>
                <c:pt idx="4">
                  <c:v>22.621909</c:v>
                </c:pt>
                <c:pt idx="5">
                  <c:v>22.621909</c:v>
                </c:pt>
                <c:pt idx="6">
                  <c:v>22.621909</c:v>
                </c:pt>
                <c:pt idx="7">
                  <c:v>22.621909</c:v>
                </c:pt>
                <c:pt idx="8">
                  <c:v>22.621909</c:v>
                </c:pt>
                <c:pt idx="9">
                  <c:v>22.621909</c:v>
                </c:pt>
                <c:pt idx="10">
                  <c:v>22.621909</c:v>
                </c:pt>
                <c:pt idx="11">
                  <c:v>12.208909</c:v>
                </c:pt>
                <c:pt idx="12">
                  <c:v>12.208909</c:v>
                </c:pt>
                <c:pt idx="13">
                  <c:v>12.208909</c:v>
                </c:pt>
                <c:pt idx="14">
                  <c:v>81.008909</c:v>
                </c:pt>
                <c:pt idx="15">
                  <c:v>83.608909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'Capital'!$G$3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'Capital'!$G$4:$G$19</c:f>
              <c:numCache>
                <c:ptCount val="16"/>
                <c:pt idx="0">
                  <c:v>0.727273</c:v>
                </c:pt>
                <c:pt idx="1">
                  <c:v>-0.185455</c:v>
                </c:pt>
                <c:pt idx="2">
                  <c:v>-14.560545</c:v>
                </c:pt>
                <c:pt idx="3">
                  <c:v>-21.775273</c:v>
                </c:pt>
                <c:pt idx="4">
                  <c:v>-104.414273</c:v>
                </c:pt>
                <c:pt idx="5">
                  <c:v>-218.206273</c:v>
                </c:pt>
                <c:pt idx="6">
                  <c:v>-294.814273</c:v>
                </c:pt>
                <c:pt idx="7">
                  <c:v>-326.397273</c:v>
                </c:pt>
                <c:pt idx="8">
                  <c:v>-331.456273</c:v>
                </c:pt>
                <c:pt idx="9">
                  <c:v>-336.387273</c:v>
                </c:pt>
                <c:pt idx="10">
                  <c:v>-347.038273</c:v>
                </c:pt>
                <c:pt idx="11">
                  <c:v>-399.184273</c:v>
                </c:pt>
                <c:pt idx="12">
                  <c:v>-408.273273</c:v>
                </c:pt>
                <c:pt idx="13">
                  <c:v>-411.658273</c:v>
                </c:pt>
                <c:pt idx="14">
                  <c:v>-396.558273</c:v>
                </c:pt>
                <c:pt idx="15">
                  <c:v>-379.458273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929292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'Capital'!$H$4:$H$19</c:f>
              <c:numCache>
                <c:ptCount val="16"/>
                <c:pt idx="0">
                  <c:v>3.765818</c:v>
                </c:pt>
                <c:pt idx="1">
                  <c:v>36.408273</c:v>
                </c:pt>
                <c:pt idx="2">
                  <c:v>14.033000</c:v>
                </c:pt>
                <c:pt idx="3">
                  <c:v>5.846636</c:v>
                </c:pt>
                <c:pt idx="4">
                  <c:v>-81.792364</c:v>
                </c:pt>
                <c:pt idx="5">
                  <c:v>-195.584364</c:v>
                </c:pt>
                <c:pt idx="6">
                  <c:v>-272.192364</c:v>
                </c:pt>
                <c:pt idx="7">
                  <c:v>-303.775364</c:v>
                </c:pt>
                <c:pt idx="8">
                  <c:v>-308.834364</c:v>
                </c:pt>
                <c:pt idx="9">
                  <c:v>-313.765364</c:v>
                </c:pt>
                <c:pt idx="10">
                  <c:v>-324.416364</c:v>
                </c:pt>
                <c:pt idx="11">
                  <c:v>-386.975364</c:v>
                </c:pt>
                <c:pt idx="12">
                  <c:v>-396.064364</c:v>
                </c:pt>
                <c:pt idx="13">
                  <c:v>-399.449364</c:v>
                </c:pt>
                <c:pt idx="14">
                  <c:v>-315.549364</c:v>
                </c:pt>
                <c:pt idx="15">
                  <c:v>-295.849364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56.25"/>
        <c:minorUnit val="78.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80901"/>
          <c:y val="0.230578"/>
          <c:w val="0.435466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362634</xdr:colOff>
      <xdr:row>1</xdr:row>
      <xdr:rowOff>227366</xdr:rowOff>
    </xdr:from>
    <xdr:to>
      <xdr:col>13</xdr:col>
      <xdr:colOff>1090444</xdr:colOff>
      <xdr:row>50</xdr:row>
      <xdr:rowOff>118940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12334" y="379766"/>
          <a:ext cx="9440011" cy="124683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416175</xdr:colOff>
      <xdr:row>26</xdr:row>
      <xdr:rowOff>29487</xdr:rowOff>
    </xdr:from>
    <xdr:to>
      <xdr:col>6</xdr:col>
      <xdr:colOff>32571</xdr:colOff>
      <xdr:row>39</xdr:row>
      <xdr:rowOff>81112</xdr:rowOff>
    </xdr:to>
    <xdr:graphicFrame>
      <xdr:nvGraphicFramePr>
        <xdr:cNvPr id="4" name="2D Line Chart"/>
        <xdr:cNvGraphicFramePr/>
      </xdr:nvGraphicFramePr>
      <xdr:xfrm>
        <a:off x="632075" y="7296427"/>
        <a:ext cx="3426397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68154</xdr:colOff>
      <xdr:row>22</xdr:row>
      <xdr:rowOff>145609</xdr:rowOff>
    </xdr:from>
    <xdr:to>
      <xdr:col>6</xdr:col>
      <xdr:colOff>497686</xdr:colOff>
      <xdr:row>26</xdr:row>
      <xdr:rowOff>117240</xdr:rowOff>
    </xdr:to>
    <xdr:sp>
      <xdr:nvSpPr>
        <xdr:cNvPr id="5" name="HRUM SUDDENLY RAISED CAPITAL IN 2021"/>
        <xdr:cNvSpPr txBox="1"/>
      </xdr:nvSpPr>
      <xdr:spPr>
        <a:xfrm>
          <a:off x="284054" y="6401629"/>
          <a:ext cx="4239533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HRUM SUDDENLY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RAISED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CAPITAL IN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8.851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AVERAGE('Sales'!H24:H27)</f>
        <v>0.294662083239331</v>
      </c>
      <c r="D4" s="8"/>
      <c r="E4" s="8"/>
      <c r="F4" s="9">
        <f>AVERAGE(C5:F5)</f>
        <v>0.05</v>
      </c>
    </row>
    <row r="5" ht="20.05" customHeight="1">
      <c r="B5" t="s" s="10">
        <v>4</v>
      </c>
      <c r="C5" s="11">
        <v>0.07000000000000001</v>
      </c>
      <c r="D5" s="12">
        <v>0.07000000000000001</v>
      </c>
      <c r="E5" s="12">
        <v>0.07000000000000001</v>
      </c>
      <c r="F5" s="12">
        <v>-0.01</v>
      </c>
    </row>
    <row r="6" ht="20.05" customHeight="1">
      <c r="B6" t="s" s="10">
        <v>5</v>
      </c>
      <c r="C6" s="13">
        <f>'Sales'!C27*(1+C5)</f>
        <v>162.854</v>
      </c>
      <c r="D6" s="14">
        <f>C6*(1+D5)</f>
        <v>174.25378</v>
      </c>
      <c r="E6" s="14">
        <f>D6*(1+E5)</f>
        <v>186.4515446</v>
      </c>
      <c r="F6" s="14">
        <f>E6*(1+F5)</f>
        <v>184.587029154</v>
      </c>
    </row>
    <row r="7" ht="20.05" customHeight="1">
      <c r="B7" t="s" s="10">
        <v>6</v>
      </c>
      <c r="C7" s="11">
        <f>AVERAGE('Sales'!J27)</f>
        <v>-0.575939177892503</v>
      </c>
      <c r="D7" s="12">
        <f>C7</f>
        <v>-0.575939177892503</v>
      </c>
      <c r="E7" s="12">
        <f>D7</f>
        <v>-0.575939177892503</v>
      </c>
      <c r="F7" s="12">
        <f>E7</f>
        <v>-0.575939177892503</v>
      </c>
    </row>
    <row r="8" ht="20.05" customHeight="1">
      <c r="B8" t="s" s="10">
        <v>7</v>
      </c>
      <c r="C8" s="15">
        <f>C6*C7</f>
        <v>-93.7939988765057</v>
      </c>
      <c r="D8" s="16">
        <f>D6*D7</f>
        <v>-100.359578797861</v>
      </c>
      <c r="E8" s="16">
        <f>E6*E7</f>
        <v>-107.384749313711</v>
      </c>
      <c r="F8" s="16">
        <f>F6*F7</f>
        <v>-106.310901820574</v>
      </c>
    </row>
    <row r="9" ht="20.05" customHeight="1">
      <c r="B9" t="s" s="10">
        <v>8</v>
      </c>
      <c r="C9" s="15">
        <f>C6+C8</f>
        <v>69.0600011234943</v>
      </c>
      <c r="D9" s="16">
        <f>D6+D8</f>
        <v>73.894201202139</v>
      </c>
      <c r="E9" s="16">
        <f>E6+E8</f>
        <v>79.06679528628899</v>
      </c>
      <c r="F9" s="16">
        <f>F6+F8</f>
        <v>78.276127333426</v>
      </c>
    </row>
    <row r="10" ht="20.05" customHeight="1">
      <c r="B10" t="s" s="10">
        <v>9</v>
      </c>
      <c r="C10" s="15">
        <f>AVERAGE('Cashflow '!E28)</f>
        <v>-1</v>
      </c>
      <c r="D10" s="16">
        <f>C10</f>
        <v>-1</v>
      </c>
      <c r="E10" s="16">
        <f>D10</f>
        <v>-1</v>
      </c>
      <c r="F10" s="16">
        <f>E10</f>
        <v>-1</v>
      </c>
    </row>
    <row r="11" ht="20.05" customHeight="1">
      <c r="B11" t="s" s="10">
        <v>10</v>
      </c>
      <c r="C11" s="15">
        <f>C12+C15+C13</f>
        <v>-50.3860006740966</v>
      </c>
      <c r="D11" s="16">
        <f>D12+D15+D13</f>
        <v>-52.6740207212834</v>
      </c>
      <c r="E11" s="16">
        <f>E12+E15+E13</f>
        <v>-55.1957021717734</v>
      </c>
      <c r="F11" s="16">
        <f>F12+F15+F13</f>
        <v>-54.1685201500556</v>
      </c>
    </row>
    <row r="12" ht="20.05" customHeight="1">
      <c r="B12" t="s" s="10">
        <v>11</v>
      </c>
      <c r="C12" s="15">
        <f>-'Balance sheet'!G28/20</f>
        <v>-12.25</v>
      </c>
      <c r="D12" s="16">
        <f>-C27/20</f>
        <v>-11.6375</v>
      </c>
      <c r="E12" s="16">
        <f>-D27/20</f>
        <v>-11.055625</v>
      </c>
      <c r="F12" s="16">
        <f>-E27/20</f>
        <v>-10.50284375</v>
      </c>
    </row>
    <row r="13" ht="20.05" customHeight="1">
      <c r="B13" t="s" s="10">
        <v>12</v>
      </c>
      <c r="C13" s="15">
        <f>-MIN(0,C16)</f>
        <v>0</v>
      </c>
      <c r="D13" s="16">
        <f>-MIN(C28,D16)</f>
        <v>0</v>
      </c>
      <c r="E13" s="16">
        <f>-MIN(D28,E16)</f>
        <v>0</v>
      </c>
      <c r="F13" s="16">
        <f>-MIN(E28,F16)</f>
        <v>0</v>
      </c>
    </row>
    <row r="14" ht="20.05" customHeight="1">
      <c r="B14" t="s" s="10">
        <v>13</v>
      </c>
      <c r="C14" s="17">
        <v>0.6</v>
      </c>
      <c r="D14" s="16"/>
      <c r="E14" s="16"/>
      <c r="F14" s="16"/>
    </row>
    <row r="15" ht="20.05" customHeight="1">
      <c r="B15" t="s" s="10">
        <v>14</v>
      </c>
      <c r="C15" s="15">
        <f>IF(C22&gt;0,-C22*$C$14,0)</f>
        <v>-38.1360006740966</v>
      </c>
      <c r="D15" s="16">
        <f>IF(D22&gt;0,-D22*$C$14,0)</f>
        <v>-41.0365207212834</v>
      </c>
      <c r="E15" s="16">
        <f>IF(E22&gt;0,-E22*$C$14,0)</f>
        <v>-44.1400771717734</v>
      </c>
      <c r="F15" s="16">
        <f>IF(F22&gt;0,-F22*$C$14,0)</f>
        <v>-43.6656764000556</v>
      </c>
    </row>
    <row r="16" ht="20.05" customHeight="1">
      <c r="B16" t="s" s="10">
        <v>15</v>
      </c>
      <c r="C16" s="15">
        <f>C9+C10+C12+C15</f>
        <v>17.6740004493977</v>
      </c>
      <c r="D16" s="16">
        <f>D9+D10+D12+D15</f>
        <v>20.2201804808556</v>
      </c>
      <c r="E16" s="16">
        <f>E9+E10+E12+E15</f>
        <v>22.8710931145156</v>
      </c>
      <c r="F16" s="16">
        <f>F9+F10+F12+F15</f>
        <v>23.1076071833704</v>
      </c>
    </row>
    <row r="17" ht="20.05" customHeight="1">
      <c r="B17" t="s" s="10">
        <v>16</v>
      </c>
      <c r="C17" s="15">
        <f>'Balance sheet'!C28</f>
        <v>200</v>
      </c>
      <c r="D17" s="16">
        <f>C19</f>
        <v>217.674000449398</v>
      </c>
      <c r="E17" s="16">
        <f>D19</f>
        <v>237.894180930254</v>
      </c>
      <c r="F17" s="16">
        <f>E19</f>
        <v>260.765274044770</v>
      </c>
    </row>
    <row r="18" ht="20.05" customHeight="1">
      <c r="B18" t="s" s="10">
        <v>17</v>
      </c>
      <c r="C18" s="15">
        <f>C9+C10+C11</f>
        <v>17.6740004493977</v>
      </c>
      <c r="D18" s="16">
        <f>D9+D10+D11</f>
        <v>20.2201804808556</v>
      </c>
      <c r="E18" s="16">
        <f>E9+E10+E11</f>
        <v>22.8710931145156</v>
      </c>
      <c r="F18" s="16">
        <f>F9+F10+F11</f>
        <v>23.1076071833704</v>
      </c>
    </row>
    <row r="19" ht="20.05" customHeight="1">
      <c r="B19" t="s" s="10">
        <v>18</v>
      </c>
      <c r="C19" s="15">
        <f>C17+C18</f>
        <v>217.674000449398</v>
      </c>
      <c r="D19" s="16">
        <f>D17+D18</f>
        <v>237.894180930254</v>
      </c>
      <c r="E19" s="16">
        <f>E17+E18</f>
        <v>260.765274044770</v>
      </c>
      <c r="F19" s="16">
        <f>F17+F18</f>
        <v>283.872881228140</v>
      </c>
    </row>
    <row r="20" ht="20.05" customHeight="1">
      <c r="B20" t="s" s="18">
        <v>19</v>
      </c>
      <c r="C20" s="15"/>
      <c r="D20" s="16"/>
      <c r="E20" s="16"/>
      <c r="F20" s="19"/>
    </row>
    <row r="21" ht="20.05" customHeight="1">
      <c r="B21" t="s" s="10">
        <v>20</v>
      </c>
      <c r="C21" s="15">
        <f>-AVERAGE('Sales'!E27)</f>
        <v>-5.5</v>
      </c>
      <c r="D21" s="16">
        <f>C21</f>
        <v>-5.5</v>
      </c>
      <c r="E21" s="16">
        <f>D21</f>
        <v>-5.5</v>
      </c>
      <c r="F21" s="16">
        <f>E21</f>
        <v>-5.5</v>
      </c>
    </row>
    <row r="22" ht="20.05" customHeight="1">
      <c r="B22" t="s" s="10">
        <v>19</v>
      </c>
      <c r="C22" s="15">
        <f>C6+C8+C21</f>
        <v>63.5600011234943</v>
      </c>
      <c r="D22" s="16">
        <f>D6+D8+D21</f>
        <v>68.394201202139</v>
      </c>
      <c r="E22" s="16">
        <f>E6+E8+E21</f>
        <v>73.56679528628899</v>
      </c>
      <c r="F22" s="16">
        <f>F6+F8+F21</f>
        <v>72.776127333426</v>
      </c>
    </row>
    <row r="23" ht="20.05" customHeight="1">
      <c r="B23" t="s" s="18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sheet'!E28+'Balance sheet'!F28-C10</f>
        <v>965</v>
      </c>
      <c r="D24" s="16">
        <f>C24-D10</f>
        <v>966</v>
      </c>
      <c r="E24" s="16">
        <f>D24-E10</f>
        <v>967</v>
      </c>
      <c r="F24" s="16">
        <f>E24-F10</f>
        <v>968</v>
      </c>
    </row>
    <row r="25" ht="20.05" customHeight="1">
      <c r="B25" t="s" s="10">
        <v>23</v>
      </c>
      <c r="C25" s="15">
        <f>'Balance sheet'!F28-C21</f>
        <v>179.5</v>
      </c>
      <c r="D25" s="16">
        <f>C25-D21</f>
        <v>185</v>
      </c>
      <c r="E25" s="16">
        <f>D25-E21</f>
        <v>190.5</v>
      </c>
      <c r="F25" s="16">
        <f>E25-F21</f>
        <v>196</v>
      </c>
    </row>
    <row r="26" ht="20.05" customHeight="1">
      <c r="B26" t="s" s="10">
        <v>24</v>
      </c>
      <c r="C26" s="15">
        <f>C24-C25</f>
        <v>785.5</v>
      </c>
      <c r="D26" s="16">
        <f>D24-D25</f>
        <v>781</v>
      </c>
      <c r="E26" s="16">
        <f>E24-E25</f>
        <v>776.5</v>
      </c>
      <c r="F26" s="16">
        <f>F24-F25</f>
        <v>772</v>
      </c>
    </row>
    <row r="27" ht="20.05" customHeight="1">
      <c r="B27" t="s" s="10">
        <v>11</v>
      </c>
      <c r="C27" s="15">
        <f>'Balance sheet'!G28+C12</f>
        <v>232.75</v>
      </c>
      <c r="D27" s="16">
        <f>C27+D12</f>
        <v>221.1125</v>
      </c>
      <c r="E27" s="16">
        <f>D27+E12</f>
        <v>210.056875</v>
      </c>
      <c r="F27" s="16">
        <f>E27+F12</f>
        <v>199.55403125</v>
      </c>
    </row>
    <row r="28" ht="20.05" customHeight="1">
      <c r="B28" t="s" s="10">
        <v>12</v>
      </c>
      <c r="C28" s="15">
        <f>C13</f>
        <v>0</v>
      </c>
      <c r="D28" s="16">
        <f>C28+D13</f>
        <v>0</v>
      </c>
      <c r="E28" s="16">
        <f>D28+E13</f>
        <v>0</v>
      </c>
      <c r="F28" s="16">
        <f>E28+F13</f>
        <v>0</v>
      </c>
    </row>
    <row r="29" ht="20.05" customHeight="1">
      <c r="B29" t="s" s="10">
        <v>14</v>
      </c>
      <c r="C29" s="15">
        <f>'Balance sheet'!H28+C22+C15</f>
        <v>770.424000449398</v>
      </c>
      <c r="D29" s="16">
        <f>C29+D22+D15</f>
        <v>797.781680930254</v>
      </c>
      <c r="E29" s="16">
        <f>D29+E22+E15</f>
        <v>827.208399044770</v>
      </c>
      <c r="F29" s="16">
        <f>E29+F22+F15</f>
        <v>856.318849978140</v>
      </c>
    </row>
    <row r="30" ht="20.05" customHeight="1">
      <c r="B30" t="s" s="10">
        <v>25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26</v>
      </c>
      <c r="C31" s="15">
        <f>C19-C27-C28</f>
        <v>-15.075999550602</v>
      </c>
      <c r="D31" s="16">
        <f>D19-D27-D28</f>
        <v>16.781680930254</v>
      </c>
      <c r="E31" s="16">
        <f>E19-E27-E28</f>
        <v>50.708399044770</v>
      </c>
      <c r="F31" s="16">
        <f>F19-F27-F28</f>
        <v>84.31884997813999</v>
      </c>
    </row>
    <row r="32" ht="20.05" customHeight="1">
      <c r="B32" t="s" s="18">
        <v>27</v>
      </c>
      <c r="C32" s="15"/>
      <c r="D32" s="16"/>
      <c r="E32" s="16"/>
      <c r="F32" s="16"/>
    </row>
    <row r="33" ht="20.05" customHeight="1">
      <c r="B33" t="s" s="10">
        <v>28</v>
      </c>
      <c r="C33" s="15"/>
      <c r="D33" s="16"/>
      <c r="E33" s="16"/>
      <c r="F33" s="16">
        <v>14.3</v>
      </c>
    </row>
    <row r="34" ht="20.05" customHeight="1">
      <c r="B34" t="s" s="10">
        <v>29</v>
      </c>
      <c r="C34" s="15">
        <f>'Cashflow '!L28-C11</f>
        <v>38.8860006740966</v>
      </c>
      <c r="D34" s="16">
        <f>C34-D11</f>
        <v>91.56002139538001</v>
      </c>
      <c r="E34" s="16">
        <f>D34-E11</f>
        <v>146.755723567153</v>
      </c>
      <c r="F34" s="16">
        <f>E34-F11</f>
        <v>200.924243717209</v>
      </c>
    </row>
    <row r="35" ht="20.05" customHeight="1">
      <c r="B35" t="s" s="10">
        <v>30</v>
      </c>
      <c r="C35" s="15"/>
      <c r="D35" s="16"/>
      <c r="E35" s="16"/>
      <c r="F35" s="16">
        <v>26146894003200</v>
      </c>
    </row>
    <row r="36" ht="20.05" customHeight="1">
      <c r="B36" t="s" s="10">
        <v>30</v>
      </c>
      <c r="C36" s="15"/>
      <c r="D36" s="16"/>
      <c r="E36" s="16"/>
      <c r="F36" s="16">
        <f>(F35/1000000000)/F33</f>
        <v>1828.4541260979</v>
      </c>
    </row>
    <row r="37" ht="20.05" customHeight="1">
      <c r="B37" t="s" s="10">
        <v>31</v>
      </c>
      <c r="C37" s="15"/>
      <c r="D37" s="16"/>
      <c r="E37" s="16"/>
      <c r="F37" s="20">
        <f>F36/(F19+F26)</f>
        <v>1.73169910753947</v>
      </c>
    </row>
    <row r="38" ht="20.05" customHeight="1">
      <c r="B38" t="s" s="10">
        <v>32</v>
      </c>
      <c r="C38" s="15"/>
      <c r="D38" s="16"/>
      <c r="E38" s="16"/>
      <c r="F38" s="21">
        <f>-(C15+D15+E15+F15)/F36</f>
        <v>0.09132210241640409</v>
      </c>
    </row>
    <row r="39" ht="20.05" customHeight="1">
      <c r="B39" t="s" s="10">
        <v>33</v>
      </c>
      <c r="C39" s="15"/>
      <c r="D39" s="16"/>
      <c r="E39" s="16"/>
      <c r="F39" s="16">
        <f>SUM(C9:F10)</f>
        <v>296.297124945348</v>
      </c>
    </row>
    <row r="40" ht="20.05" customHeight="1">
      <c r="B40" t="s" s="10">
        <v>34</v>
      </c>
      <c r="C40" s="15"/>
      <c r="D40" s="16"/>
      <c r="E40" s="16"/>
      <c r="F40" s="16">
        <f>'Balance sheet'!E28/F39</f>
        <v>2.66624254334468</v>
      </c>
    </row>
    <row r="41" ht="20.05" customHeight="1">
      <c r="B41" t="s" s="10">
        <v>27</v>
      </c>
      <c r="C41" s="15"/>
      <c r="D41" s="16"/>
      <c r="E41" s="16"/>
      <c r="F41" s="16">
        <f>F36/F39</f>
        <v>6.17101541715991</v>
      </c>
    </row>
    <row r="42" ht="20.05" customHeight="1">
      <c r="B42" t="s" s="10">
        <v>35</v>
      </c>
      <c r="C42" s="15"/>
      <c r="D42" s="16"/>
      <c r="E42" s="16"/>
      <c r="F42" s="16">
        <v>8</v>
      </c>
    </row>
    <row r="43" ht="20.05" customHeight="1">
      <c r="B43" t="s" s="10">
        <v>36</v>
      </c>
      <c r="C43" s="15"/>
      <c r="D43" s="16"/>
      <c r="E43" s="16"/>
      <c r="F43" s="16">
        <f>F39*F42</f>
        <v>2370.376999562780</v>
      </c>
    </row>
    <row r="44" ht="20.05" customHeight="1">
      <c r="B44" t="s" s="10">
        <v>37</v>
      </c>
      <c r="C44" s="15"/>
      <c r="D44" s="16"/>
      <c r="E44" s="16"/>
      <c r="F44" s="16">
        <f>(F35/1000000000)/F46</f>
        <v>2.526269952</v>
      </c>
    </row>
    <row r="45" ht="20.05" customHeight="1">
      <c r="B45" t="s" s="10">
        <v>38</v>
      </c>
      <c r="C45" s="15"/>
      <c r="D45" s="16"/>
      <c r="E45" s="16"/>
      <c r="F45" s="16">
        <f>(F43/F44)*F33</f>
        <v>13417.5649229064</v>
      </c>
    </row>
    <row r="46" ht="20.05" customHeight="1">
      <c r="B46" t="s" s="10">
        <v>39</v>
      </c>
      <c r="C46" s="15"/>
      <c r="D46" s="16"/>
      <c r="E46" s="16"/>
      <c r="F46" s="16">
        <v>10350</v>
      </c>
    </row>
    <row r="47" ht="20.05" customHeight="1">
      <c r="B47" t="s" s="10">
        <v>40</v>
      </c>
      <c r="C47" s="15"/>
      <c r="D47" s="16"/>
      <c r="E47" s="16"/>
      <c r="F47" s="21">
        <f>F45/F46-1</f>
        <v>0.296383084338783</v>
      </c>
    </row>
    <row r="48" ht="20.05" customHeight="1">
      <c r="B48" t="s" s="10">
        <v>41</v>
      </c>
      <c r="C48" s="15"/>
      <c r="D48" s="16"/>
      <c r="E48" s="16"/>
      <c r="F48" s="21">
        <f>'Sales'!C27/'Sales'!C23-1</f>
        <v>1.66549912434326</v>
      </c>
    </row>
    <row r="49" ht="20.05" customHeight="1">
      <c r="B49" t="s" s="10">
        <v>42</v>
      </c>
      <c r="C49" s="15"/>
      <c r="D49" s="16"/>
      <c r="E49" s="16"/>
      <c r="F49" s="21">
        <f>'Sales'!F30/'Sales'!E30-1</f>
        <v>-0.151497451979616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1" width="10.9688" style="22" customWidth="1"/>
    <col min="12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</v>
      </c>
      <c r="D2" t="s" s="5">
        <v>35</v>
      </c>
      <c r="E2" t="s" s="5">
        <v>43</v>
      </c>
      <c r="F2" t="s" s="5">
        <v>44</v>
      </c>
      <c r="G2" t="s" s="5">
        <v>45</v>
      </c>
      <c r="H2" t="s" s="5">
        <v>46</v>
      </c>
      <c r="I2" t="s" s="5">
        <v>6</v>
      </c>
      <c r="J2" t="s" s="5">
        <v>6</v>
      </c>
      <c r="K2" t="s" s="5">
        <v>35</v>
      </c>
    </row>
    <row r="3" ht="20.25" customHeight="1">
      <c r="B3" s="23">
        <v>2016</v>
      </c>
      <c r="C3" s="24">
        <v>44</v>
      </c>
      <c r="D3" s="25"/>
      <c r="E3" s="25">
        <v>3.075</v>
      </c>
      <c r="F3" s="25"/>
      <c r="G3" s="25">
        <v>1.5</v>
      </c>
      <c r="H3" s="9"/>
      <c r="I3" s="9">
        <f>(G3+E3-F3-C3)/C3</f>
        <v>-0.896022727272727</v>
      </c>
      <c r="J3" s="9"/>
      <c r="K3" s="8"/>
    </row>
    <row r="4" ht="20.05" customHeight="1">
      <c r="B4" s="26"/>
      <c r="C4" s="15">
        <v>36</v>
      </c>
      <c r="D4" s="16"/>
      <c r="E4" s="16">
        <v>3.075</v>
      </c>
      <c r="F4" s="16"/>
      <c r="G4" s="16">
        <v>3.9</v>
      </c>
      <c r="H4" s="12">
        <f>C4/C3-1</f>
        <v>-0.181818181818182</v>
      </c>
      <c r="I4" s="12">
        <f>(G4+E4-F4-C4)/C4</f>
        <v>-0.80625</v>
      </c>
      <c r="J4" s="12"/>
      <c r="K4" s="19"/>
    </row>
    <row r="5" ht="20.05" customHeight="1">
      <c r="B5" s="26"/>
      <c r="C5" s="15">
        <v>50</v>
      </c>
      <c r="D5" s="16"/>
      <c r="E5" s="16">
        <v>3.075</v>
      </c>
      <c r="F5" s="16"/>
      <c r="G5" s="16">
        <v>7.6</v>
      </c>
      <c r="H5" s="12">
        <f>C5/C4-1</f>
        <v>0.388888888888889</v>
      </c>
      <c r="I5" s="12">
        <f>(G5+E5-F5-C5)/C5</f>
        <v>-0.7865</v>
      </c>
      <c r="J5" s="12"/>
      <c r="K5" s="19"/>
    </row>
    <row r="6" ht="20.05" customHeight="1">
      <c r="B6" s="26"/>
      <c r="C6" s="15">
        <v>87</v>
      </c>
      <c r="D6" s="16"/>
      <c r="E6" s="16">
        <v>3.075</v>
      </c>
      <c r="F6" s="16"/>
      <c r="G6" s="16">
        <v>5</v>
      </c>
      <c r="H6" s="12">
        <f>C6/C5-1</f>
        <v>0.74</v>
      </c>
      <c r="I6" s="12">
        <f>(G6+E6-F6-C6)/C6</f>
        <v>-0.907183908045977</v>
      </c>
      <c r="J6" s="12"/>
      <c r="K6" s="19"/>
    </row>
    <row r="7" ht="20.05" customHeight="1">
      <c r="B7" s="27">
        <v>2017</v>
      </c>
      <c r="C7" s="15">
        <v>79</v>
      </c>
      <c r="D7" s="16"/>
      <c r="E7" s="16">
        <v>3.075</v>
      </c>
      <c r="F7" s="16"/>
      <c r="G7" s="16">
        <v>15.1</v>
      </c>
      <c r="H7" s="12">
        <f>C7/C6-1</f>
        <v>-0.0919540229885057</v>
      </c>
      <c r="I7" s="12">
        <f>(G7+E7-F7-C7)/C7</f>
        <v>-0.769936708860759</v>
      </c>
      <c r="J7" s="12">
        <f>AVERAGE(I4:I7)</f>
        <v>-0.817467654226684</v>
      </c>
      <c r="K7" s="19"/>
    </row>
    <row r="8" ht="20.05" customHeight="1">
      <c r="B8" s="26"/>
      <c r="C8" s="15">
        <v>86</v>
      </c>
      <c r="D8" s="16"/>
      <c r="E8" s="16">
        <v>3.075</v>
      </c>
      <c r="F8" s="16"/>
      <c r="G8" s="16">
        <v>11.9</v>
      </c>
      <c r="H8" s="12">
        <f>C8/C7-1</f>
        <v>0.0886075949367089</v>
      </c>
      <c r="I8" s="12">
        <f>(G8+E8-F8-C8)/C8</f>
        <v>-0.825872093023256</v>
      </c>
      <c r="J8" s="12">
        <f>AVERAGE(I5:I8)</f>
        <v>-0.8223731774824981</v>
      </c>
      <c r="K8" s="19"/>
    </row>
    <row r="9" ht="20.05" customHeight="1">
      <c r="B9" s="26"/>
      <c r="C9" s="15">
        <v>74</v>
      </c>
      <c r="D9" s="16"/>
      <c r="E9" s="16">
        <v>3.075</v>
      </c>
      <c r="F9" s="16"/>
      <c r="G9" s="16">
        <v>13</v>
      </c>
      <c r="H9" s="12">
        <f>C9/C8-1</f>
        <v>-0.13953488372093</v>
      </c>
      <c r="I9" s="12">
        <f>(G9+E9-F9-C9)/C9</f>
        <v>-0.78277027027027</v>
      </c>
      <c r="J9" s="12">
        <f>AVERAGE(I6:I9)</f>
        <v>-0.821440745050066</v>
      </c>
      <c r="K9" s="19"/>
    </row>
    <row r="10" ht="20.05" customHeight="1">
      <c r="B10" s="26"/>
      <c r="C10" s="15">
        <v>87</v>
      </c>
      <c r="D10" s="16"/>
      <c r="E10" s="16">
        <v>3.075</v>
      </c>
      <c r="F10" s="16"/>
      <c r="G10" s="16">
        <v>15.7</v>
      </c>
      <c r="H10" s="12">
        <f>C10/C9-1</f>
        <v>0.175675675675676</v>
      </c>
      <c r="I10" s="12">
        <f>(G10+E10-F10-C10)/C10</f>
        <v>-0.784195402298851</v>
      </c>
      <c r="J10" s="12">
        <f>AVERAGE(I7:I10)</f>
        <v>-0.790693618613284</v>
      </c>
      <c r="K10" s="19"/>
    </row>
    <row r="11" ht="20.05" customHeight="1">
      <c r="B11" s="27">
        <v>2018</v>
      </c>
      <c r="C11" s="15">
        <v>87</v>
      </c>
      <c r="D11" s="16"/>
      <c r="E11" s="16">
        <v>3.75</v>
      </c>
      <c r="F11" s="16"/>
      <c r="G11" s="16">
        <v>15.7</v>
      </c>
      <c r="H11" s="12">
        <f>C11/C10-1</f>
        <v>0</v>
      </c>
      <c r="I11" s="12">
        <f>(G11+E11-F11-C11)/C11</f>
        <v>-0.776436781609195</v>
      </c>
      <c r="J11" s="12">
        <f>AVERAGE(I8:I11)</f>
        <v>-0.7923186368003931</v>
      </c>
      <c r="K11" s="19"/>
    </row>
    <row r="12" ht="20.05" customHeight="1">
      <c r="B12" s="26"/>
      <c r="C12" s="15">
        <v>66</v>
      </c>
      <c r="D12" s="16"/>
      <c r="E12" s="16">
        <v>3.75</v>
      </c>
      <c r="F12" s="16"/>
      <c r="G12" s="16">
        <v>6.3</v>
      </c>
      <c r="H12" s="12">
        <f>C12/C11-1</f>
        <v>-0.241379310344828</v>
      </c>
      <c r="I12" s="12">
        <f>(G12+E12-F12-C12)/C12</f>
        <v>-0.847727272727273</v>
      </c>
      <c r="J12" s="12">
        <f>AVERAGE(I9:I12)</f>
        <v>-0.797782431726397</v>
      </c>
      <c r="K12" s="19"/>
    </row>
    <row r="13" ht="20.05" customHeight="1">
      <c r="B13" s="26"/>
      <c r="C13" s="15">
        <v>80</v>
      </c>
      <c r="D13" s="16"/>
      <c r="E13" s="16">
        <v>3.75</v>
      </c>
      <c r="F13" s="16"/>
      <c r="G13" s="16">
        <v>7.5</v>
      </c>
      <c r="H13" s="12">
        <f>C13/C12-1</f>
        <v>0.212121212121212</v>
      </c>
      <c r="I13" s="12">
        <f>(G13+E13-F13-C13)/C13</f>
        <v>-0.859375</v>
      </c>
      <c r="J13" s="12">
        <f>AVERAGE(I10:I13)</f>
        <v>-0.81693361415883</v>
      </c>
      <c r="K13" s="19"/>
    </row>
    <row r="14" ht="20.05" customHeight="1">
      <c r="B14" s="26"/>
      <c r="C14" s="15">
        <v>104</v>
      </c>
      <c r="D14" s="16"/>
      <c r="E14" s="16">
        <v>3.75</v>
      </c>
      <c r="F14" s="16"/>
      <c r="G14" s="16">
        <v>10.5</v>
      </c>
      <c r="H14" s="12">
        <f>C14/C13-1</f>
        <v>0.3</v>
      </c>
      <c r="I14" s="12">
        <f>(G14+E14-F14-C14)/C14</f>
        <v>-0.8629807692307691</v>
      </c>
      <c r="J14" s="12">
        <f>AVERAGE(I11:I14)</f>
        <v>-0.836629955891809</v>
      </c>
      <c r="K14" s="19"/>
    </row>
    <row r="15" ht="20.05" customHeight="1">
      <c r="B15" s="27">
        <v>2019</v>
      </c>
      <c r="C15" s="15">
        <v>72</v>
      </c>
      <c r="D15" s="16"/>
      <c r="E15" s="16">
        <v>3.525</v>
      </c>
      <c r="F15" s="16"/>
      <c r="G15" s="16">
        <v>7</v>
      </c>
      <c r="H15" s="12">
        <f>C15/C14-1</f>
        <v>-0.307692307692308</v>
      </c>
      <c r="I15" s="12">
        <f>(G15+E15-F15-C15)/C15</f>
        <v>-0.853819444444444</v>
      </c>
      <c r="J15" s="12">
        <f>AVERAGE(I12:I15)</f>
        <v>-0.855975621600622</v>
      </c>
      <c r="K15" s="19"/>
    </row>
    <row r="16" ht="20.05" customHeight="1">
      <c r="B16" s="26"/>
      <c r="C16" s="15">
        <v>68</v>
      </c>
      <c r="D16" s="16"/>
      <c r="E16" s="16">
        <v>3.525</v>
      </c>
      <c r="F16" s="16"/>
      <c r="G16" s="16">
        <v>7.2</v>
      </c>
      <c r="H16" s="12">
        <f>C16/C15-1</f>
        <v>-0.0555555555555556</v>
      </c>
      <c r="I16" s="12">
        <f>(G16+E16-F16-C16)/C16</f>
        <v>-0.842279411764706</v>
      </c>
      <c r="J16" s="12">
        <f>AVERAGE(I13:I16)</f>
        <v>-0.85461365635998</v>
      </c>
      <c r="K16" s="19"/>
    </row>
    <row r="17" ht="20.05" customHeight="1">
      <c r="B17" s="26"/>
      <c r="C17" s="15">
        <v>60</v>
      </c>
      <c r="D17" s="16"/>
      <c r="E17" s="16">
        <v>3.525</v>
      </c>
      <c r="F17" s="16"/>
      <c r="G17" s="16">
        <v>3.9</v>
      </c>
      <c r="H17" s="12">
        <f>C17/C16-1</f>
        <v>-0.117647058823529</v>
      </c>
      <c r="I17" s="12">
        <f>(G17+E17-F17-C17)/C17</f>
        <v>-0.87625</v>
      </c>
      <c r="J17" s="12">
        <f>AVERAGE(I14:I17)</f>
        <v>-0.85883240635998</v>
      </c>
      <c r="K17" s="19"/>
    </row>
    <row r="18" ht="20.05" customHeight="1">
      <c r="B18" s="26"/>
      <c r="C18" s="15">
        <v>63</v>
      </c>
      <c r="D18" s="16"/>
      <c r="E18" s="16">
        <v>3.525</v>
      </c>
      <c r="F18" s="16"/>
      <c r="G18" s="16">
        <v>2</v>
      </c>
      <c r="H18" s="12">
        <f>C18/C17-1</f>
        <v>0.05</v>
      </c>
      <c r="I18" s="12">
        <f>(G18+E18-F18-C18)/C18</f>
        <v>-0.9123015873015869</v>
      </c>
      <c r="J18" s="12">
        <f>AVERAGE(I15:I18)</f>
        <v>-0.871162610877684</v>
      </c>
      <c r="K18" s="19"/>
    </row>
    <row r="19" ht="20.05" customHeight="1">
      <c r="B19" s="27">
        <v>2020</v>
      </c>
      <c r="C19" s="15">
        <v>61</v>
      </c>
      <c r="D19" s="16"/>
      <c r="E19" s="16">
        <v>4.06666666666667</v>
      </c>
      <c r="F19" s="16">
        <v>5</v>
      </c>
      <c r="G19" s="16">
        <v>2</v>
      </c>
      <c r="H19" s="12">
        <f>C19/C18-1</f>
        <v>-0.0317460317460317</v>
      </c>
      <c r="I19" s="12">
        <f>(G19+E19+F19-C19)/C19</f>
        <v>-0.818579234972678</v>
      </c>
      <c r="J19" s="12">
        <f>AVERAGE(I16:I19)</f>
        <v>-0.862352558509743</v>
      </c>
      <c r="K19" s="19"/>
    </row>
    <row r="20" ht="20.05" customHeight="1">
      <c r="B20" s="26"/>
      <c r="C20" s="15">
        <v>42</v>
      </c>
      <c r="D20" s="16"/>
      <c r="E20" s="16">
        <v>4.06666666666667</v>
      </c>
      <c r="F20" s="16">
        <v>-18</v>
      </c>
      <c r="G20" s="16">
        <v>21.9</v>
      </c>
      <c r="H20" s="12">
        <f>C20/C19-1</f>
        <v>-0.311475409836066</v>
      </c>
      <c r="I20" s="12">
        <f>(G20+E20+F20-C20)/C20</f>
        <v>-0.81031746031746</v>
      </c>
      <c r="J20" s="12">
        <f>AVERAGE(I17:I20)</f>
        <v>-0.854362070647931</v>
      </c>
      <c r="K20" s="19"/>
    </row>
    <row r="21" ht="20.05" customHeight="1">
      <c r="B21" s="26"/>
      <c r="C21" s="15">
        <v>33</v>
      </c>
      <c r="D21" s="16"/>
      <c r="E21" s="16">
        <v>4.06666666666667</v>
      </c>
      <c r="F21" s="16">
        <v>-5</v>
      </c>
      <c r="G21" s="16">
        <v>3.4</v>
      </c>
      <c r="H21" s="12">
        <f>C21/C20-1</f>
        <v>-0.214285714285714</v>
      </c>
      <c r="I21" s="12">
        <f>(G21+E21+F21-C21)/C21</f>
        <v>-0.925252525252525</v>
      </c>
      <c r="J21" s="12">
        <f>AVERAGE(I18:I21)</f>
        <v>-0.866612701961063</v>
      </c>
      <c r="K21" s="19"/>
    </row>
    <row r="22" ht="20.05" customHeight="1">
      <c r="B22" s="26"/>
      <c r="C22" s="15">
        <f>157.8-SUM(C19:C21)</f>
        <v>21.8</v>
      </c>
      <c r="D22" s="16">
        <v>44.55</v>
      </c>
      <c r="E22" s="16">
        <v>4</v>
      </c>
      <c r="F22" s="16">
        <v>-38</v>
      </c>
      <c r="G22" s="16">
        <f>60-SUM(G19:G21)</f>
        <v>32.7</v>
      </c>
      <c r="H22" s="12">
        <f>C22/C21-1</f>
        <v>-0.339393939393939</v>
      </c>
      <c r="I22" s="12">
        <f>(G22+E22+F22-C22)/C22</f>
        <v>-1.05963302752294</v>
      </c>
      <c r="J22" s="12">
        <f>AVERAGE(I19:I22)</f>
        <v>-0.903445562016401</v>
      </c>
      <c r="K22" s="19"/>
    </row>
    <row r="23" ht="20.05" customHeight="1">
      <c r="B23" s="27">
        <v>2021</v>
      </c>
      <c r="C23" s="15">
        <v>57.1</v>
      </c>
      <c r="D23" s="16">
        <v>23</v>
      </c>
      <c r="E23" s="16">
        <f>2.5+0.3+1.4</f>
        <v>4.2</v>
      </c>
      <c r="F23" s="16">
        <v>-9</v>
      </c>
      <c r="G23" s="16">
        <v>22.1</v>
      </c>
      <c r="H23" s="12">
        <f>C23/C22-1</f>
        <v>1.61926605504587</v>
      </c>
      <c r="I23" s="12">
        <f>(G23+E23+F23-C23)/C23</f>
        <v>-0.697022767075306</v>
      </c>
      <c r="J23" s="12">
        <f>AVERAGE(I20:I23)</f>
        <v>-0.873056445042058</v>
      </c>
      <c r="K23" s="19"/>
    </row>
    <row r="24" ht="20.05" customHeight="1">
      <c r="B24" s="26"/>
      <c r="C24" s="15">
        <f>115.7-C23</f>
        <v>58.6</v>
      </c>
      <c r="D24" s="16">
        <v>65.66500000000001</v>
      </c>
      <c r="E24" s="16">
        <f>8.5-E23</f>
        <v>4.3</v>
      </c>
      <c r="F24" s="16">
        <v>18</v>
      </c>
      <c r="G24" s="16">
        <f>19.1-G23</f>
        <v>-3</v>
      </c>
      <c r="H24" s="12">
        <f>C24/C23-1</f>
        <v>0.0262697022767075</v>
      </c>
      <c r="I24" s="12">
        <f>(G24+E24+F24-C24)/C24</f>
        <v>-0.670648464163823</v>
      </c>
      <c r="J24" s="12">
        <f>AVERAGE(I21:I24)</f>
        <v>-0.8381391960036489</v>
      </c>
      <c r="K24" s="19"/>
    </row>
    <row r="25" ht="20.05" customHeight="1">
      <c r="B25" s="26"/>
      <c r="C25" s="15">
        <f>205.5-SUM(C23:C24)</f>
        <v>89.8</v>
      </c>
      <c r="D25" s="28">
        <v>59.186</v>
      </c>
      <c r="E25" s="16">
        <f>12.6-SUM(E23:E24)</f>
        <v>4.1</v>
      </c>
      <c r="F25" s="16">
        <f>10.6-0.1-SUM(F23:F24)</f>
        <v>1.5</v>
      </c>
      <c r="G25" s="16">
        <f>52-SUM(G23:G24)</f>
        <v>32.9</v>
      </c>
      <c r="H25" s="12">
        <f>C25/C24-1</f>
        <v>0.532423208191126</v>
      </c>
      <c r="I25" s="12">
        <f>(G25+E25+F25-C25)/C25</f>
        <v>-0.571269487750557</v>
      </c>
      <c r="J25" s="12">
        <f>AVERAGE(I22:I25)</f>
        <v>-0.749643436628157</v>
      </c>
      <c r="K25" s="19"/>
    </row>
    <row r="26" ht="20.05" customHeight="1">
      <c r="B26" s="26"/>
      <c r="C26" s="15">
        <f>336.2-SUM(C23:C25)</f>
        <v>130.7</v>
      </c>
      <c r="D26" s="28">
        <v>103.27</v>
      </c>
      <c r="E26" s="16">
        <f>17.9-SUM(E23:E25)</f>
        <v>5.3</v>
      </c>
      <c r="F26" s="16"/>
      <c r="G26" s="16">
        <f>98.3-SUM(G23:G25)</f>
        <v>46.3</v>
      </c>
      <c r="H26" s="12">
        <f>C26/C25-1</f>
        <v>0.455456570155902</v>
      </c>
      <c r="I26" s="12">
        <f>(G26+E26+F26-C26)/C26</f>
        <v>-0.605202754399388</v>
      </c>
      <c r="J26" s="12">
        <f>AVERAGE(I23:I26)</f>
        <v>-0.636035868347269</v>
      </c>
      <c r="K26" s="19"/>
    </row>
    <row r="27" ht="20.05" customHeight="1">
      <c r="B27" s="27">
        <v>2022</v>
      </c>
      <c r="C27" s="15">
        <v>152.2</v>
      </c>
      <c r="D27" s="28">
        <v>137.235</v>
      </c>
      <c r="E27" s="16">
        <v>5.5</v>
      </c>
      <c r="F27" s="16"/>
      <c r="G27" s="16">
        <v>77.2</v>
      </c>
      <c r="H27" s="12">
        <f>C27/C26-1</f>
        <v>0.164498852333588</v>
      </c>
      <c r="I27" s="12">
        <f>(G27+E27+F27-C27)/C27</f>
        <v>-0.456636005256242</v>
      </c>
      <c r="J27" s="12">
        <f>AVERAGE(I24:I27)</f>
        <v>-0.575939177892503</v>
      </c>
      <c r="K27" s="12">
        <v>-0.605202754399388</v>
      </c>
    </row>
    <row r="28" ht="20.05" customHeight="1">
      <c r="B28" s="26"/>
      <c r="C28" s="15"/>
      <c r="D28" s="28">
        <f>'Model'!C6</f>
        <v>162.854</v>
      </c>
      <c r="E28" s="16"/>
      <c r="F28" s="16"/>
      <c r="G28" s="16"/>
      <c r="H28" s="12"/>
      <c r="I28" s="19"/>
      <c r="J28" s="12"/>
      <c r="K28" s="12">
        <f>'Model'!C7</f>
        <v>-0.575939177892503</v>
      </c>
    </row>
    <row r="29" ht="20.05" customHeight="1">
      <c r="B29" s="26"/>
      <c r="C29" s="15"/>
      <c r="D29" s="16">
        <f>'Model'!D6</f>
        <v>174.25378</v>
      </c>
      <c r="E29" s="16"/>
      <c r="F29" s="16"/>
      <c r="G29" s="16"/>
      <c r="H29" s="12"/>
      <c r="I29" s="12"/>
      <c r="J29" s="12"/>
      <c r="K29" s="19"/>
    </row>
    <row r="30" ht="20.05" customHeight="1">
      <c r="B30" s="26"/>
      <c r="C30" s="15"/>
      <c r="D30" s="16">
        <f>'Model'!E6</f>
        <v>186.4515446</v>
      </c>
      <c r="E30" s="16">
        <f>SUM(C22:C27)</f>
        <v>510.2</v>
      </c>
      <c r="F30" s="16">
        <f>SUM(D22:D27)</f>
        <v>432.906</v>
      </c>
      <c r="G30" s="16"/>
      <c r="H30" s="12"/>
      <c r="I30" s="12"/>
      <c r="J30" s="12"/>
      <c r="K30" s="19"/>
    </row>
    <row r="31" ht="20.05" customHeight="1">
      <c r="B31" s="27">
        <v>2023</v>
      </c>
      <c r="C31" s="15"/>
      <c r="D31" s="16">
        <f>'Model'!F6</f>
        <v>184.587029154</v>
      </c>
      <c r="E31" s="16"/>
      <c r="F31" s="16"/>
      <c r="G31" s="16"/>
      <c r="H31" s="12"/>
      <c r="I31" s="12"/>
      <c r="J31" s="12"/>
      <c r="K31" s="19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9" customWidth="1"/>
    <col min="2" max="2" width="10.1797" style="29" customWidth="1"/>
    <col min="3" max="14" width="9.46875" style="29" customWidth="1"/>
    <col min="15" max="16384" width="16.3516" style="29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47</v>
      </c>
      <c r="D3" t="s" s="5">
        <v>8</v>
      </c>
      <c r="E3" t="s" s="5">
        <v>9</v>
      </c>
      <c r="F3" t="s" s="5">
        <v>11</v>
      </c>
      <c r="G3" t="s" s="5">
        <v>14</v>
      </c>
      <c r="H3" t="s" s="5">
        <v>10</v>
      </c>
      <c r="I3" t="s" s="5">
        <v>48</v>
      </c>
      <c r="J3" t="s" s="5">
        <v>33</v>
      </c>
      <c r="K3" t="s" s="5">
        <v>35</v>
      </c>
      <c r="L3" t="s" s="5">
        <v>49</v>
      </c>
      <c r="M3" t="s" s="5">
        <v>35</v>
      </c>
      <c r="N3" s="30"/>
    </row>
    <row r="4" ht="21.4" customHeight="1">
      <c r="B4" s="23">
        <v>2016</v>
      </c>
      <c r="C4" s="24">
        <v>42</v>
      </c>
      <c r="D4" s="25">
        <v>4.7</v>
      </c>
      <c r="E4" s="25">
        <v>-1</v>
      </c>
      <c r="F4" s="25"/>
      <c r="G4" s="25"/>
      <c r="H4" s="25">
        <v>-0.3</v>
      </c>
      <c r="I4" s="31">
        <f>D4+E4</f>
        <v>3.7</v>
      </c>
      <c r="J4" s="31"/>
      <c r="K4" s="25"/>
      <c r="L4" s="25">
        <f>-H4</f>
        <v>0.3</v>
      </c>
      <c r="M4" s="25"/>
      <c r="N4" s="25">
        <v>1</v>
      </c>
    </row>
    <row r="5" ht="21.2" customHeight="1">
      <c r="B5" s="26"/>
      <c r="C5" s="15">
        <v>34</v>
      </c>
      <c r="D5" s="16">
        <v>-2.4</v>
      </c>
      <c r="E5" s="16">
        <v>-2.7</v>
      </c>
      <c r="F5" s="16"/>
      <c r="G5" s="16"/>
      <c r="H5" s="16">
        <v>-0.1</v>
      </c>
      <c r="I5" s="32">
        <f>D5+E5</f>
        <v>-5.1</v>
      </c>
      <c r="J5" s="32"/>
      <c r="K5" s="16"/>
      <c r="L5" s="16">
        <f>-H5+L4</f>
        <v>0.4</v>
      </c>
      <c r="M5" s="16"/>
      <c r="N5" s="16">
        <f>1+N4</f>
        <v>2</v>
      </c>
    </row>
    <row r="6" ht="21.2" customHeight="1">
      <c r="B6" s="26"/>
      <c r="C6" s="15">
        <v>42</v>
      </c>
      <c r="D6" s="16">
        <v>10.7</v>
      </c>
      <c r="E6" s="16">
        <v>0.1</v>
      </c>
      <c r="F6" s="16"/>
      <c r="G6" s="16"/>
      <c r="H6" s="16">
        <v>-2.3</v>
      </c>
      <c r="I6" s="32">
        <f>D6+E6</f>
        <v>10.8</v>
      </c>
      <c r="J6" s="32"/>
      <c r="K6" s="16"/>
      <c r="L6" s="16">
        <f>-H6+L5</f>
        <v>2.7</v>
      </c>
      <c r="M6" s="16"/>
      <c r="N6" s="16">
        <f>1+N5</f>
        <v>3</v>
      </c>
    </row>
    <row r="7" ht="21.2" customHeight="1">
      <c r="B7" s="26"/>
      <c r="C7" s="15">
        <v>85</v>
      </c>
      <c r="D7" s="16">
        <v>32</v>
      </c>
      <c r="E7" s="16">
        <v>-1.1</v>
      </c>
      <c r="F7" s="16"/>
      <c r="G7" s="16"/>
      <c r="H7" s="16">
        <v>-2.2</v>
      </c>
      <c r="I7" s="32">
        <f>D7+E7</f>
        <v>30.9</v>
      </c>
      <c r="J7" s="32"/>
      <c r="K7" s="16"/>
      <c r="L7" s="16">
        <f>-H7+L6</f>
        <v>4.9</v>
      </c>
      <c r="M7" s="16"/>
      <c r="N7" s="16">
        <f>1+N6</f>
        <v>4</v>
      </c>
    </row>
    <row r="8" ht="21.2" customHeight="1">
      <c r="B8" s="27">
        <v>2017</v>
      </c>
      <c r="C8" s="15">
        <v>73</v>
      </c>
      <c r="D8" s="16">
        <v>3</v>
      </c>
      <c r="E8" s="16">
        <v>0.2</v>
      </c>
      <c r="F8" s="16"/>
      <c r="G8" s="16"/>
      <c r="H8" s="16">
        <v>-2</v>
      </c>
      <c r="I8" s="32">
        <f>D8+E8</f>
        <v>3.2</v>
      </c>
      <c r="J8" s="32">
        <f>AVERAGE(I5:I8)</f>
        <v>9.949999999999999</v>
      </c>
      <c r="K8" s="16"/>
      <c r="L8" s="16">
        <f>-H8+L7</f>
        <v>6.9</v>
      </c>
      <c r="M8" s="16"/>
      <c r="N8" s="16">
        <f>1+N7</f>
        <v>5</v>
      </c>
    </row>
    <row r="9" ht="21.2" customHeight="1">
      <c r="B9" s="26"/>
      <c r="C9" s="15">
        <v>85</v>
      </c>
      <c r="D9" s="16">
        <v>23</v>
      </c>
      <c r="E9" s="16">
        <v>-2.4</v>
      </c>
      <c r="F9" s="16"/>
      <c r="G9" s="16"/>
      <c r="H9" s="16">
        <v>-5.5</v>
      </c>
      <c r="I9" s="32">
        <f>D9+E9</f>
        <v>20.6</v>
      </c>
      <c r="J9" s="32">
        <f>AVERAGE(I6:I9)</f>
        <v>16.375</v>
      </c>
      <c r="K9" s="16"/>
      <c r="L9" s="16">
        <f>-H9+L8</f>
        <v>12.4</v>
      </c>
      <c r="M9" s="16"/>
      <c r="N9" s="16">
        <f>1+N8</f>
        <v>6</v>
      </c>
    </row>
    <row r="10" ht="21.2" customHeight="1">
      <c r="B10" s="26"/>
      <c r="C10" s="15">
        <v>73</v>
      </c>
      <c r="D10" s="16">
        <v>-3</v>
      </c>
      <c r="E10" s="16">
        <v>-0.1</v>
      </c>
      <c r="F10" s="16"/>
      <c r="G10" s="16"/>
      <c r="H10" s="16">
        <v>-3.2</v>
      </c>
      <c r="I10" s="32">
        <f>D10+E10</f>
        <v>-3.1</v>
      </c>
      <c r="J10" s="32">
        <f>AVERAGE(I7:I10)</f>
        <v>12.9</v>
      </c>
      <c r="K10" s="16"/>
      <c r="L10" s="16">
        <f>-H10+L9</f>
        <v>15.6</v>
      </c>
      <c r="M10" s="16"/>
      <c r="N10" s="16">
        <f>1+N9</f>
        <v>7</v>
      </c>
    </row>
    <row r="11" ht="21.2" customHeight="1">
      <c r="B11" s="26"/>
      <c r="C11" s="15">
        <v>93</v>
      </c>
      <c r="D11" s="16">
        <v>31.6</v>
      </c>
      <c r="E11" s="16">
        <v>-6.3</v>
      </c>
      <c r="F11" s="16"/>
      <c r="G11" s="16"/>
      <c r="H11" s="16">
        <v>0</v>
      </c>
      <c r="I11" s="32">
        <f>D11+E11</f>
        <v>25.3</v>
      </c>
      <c r="J11" s="32">
        <f>AVERAGE(I8:I11)</f>
        <v>11.5</v>
      </c>
      <c r="K11" s="16"/>
      <c r="L11" s="16">
        <f>-H11+L10</f>
        <v>15.6</v>
      </c>
      <c r="M11" s="16"/>
      <c r="N11" s="16">
        <f>1+N10</f>
        <v>8</v>
      </c>
    </row>
    <row r="12" ht="21.2" customHeight="1">
      <c r="B12" s="27">
        <v>2018</v>
      </c>
      <c r="C12" s="15">
        <v>86</v>
      </c>
      <c r="D12" s="16">
        <v>13.7</v>
      </c>
      <c r="E12" s="16">
        <v>-0.6</v>
      </c>
      <c r="F12" s="16"/>
      <c r="G12" s="16"/>
      <c r="H12" s="16">
        <v>-12</v>
      </c>
      <c r="I12" s="32">
        <f>D12+E12</f>
        <v>13.1</v>
      </c>
      <c r="J12" s="32">
        <f>AVERAGE(I9:I12)</f>
        <v>13.975</v>
      </c>
      <c r="K12" s="16"/>
      <c r="L12" s="16">
        <f>-H12+L11</f>
        <v>27.6</v>
      </c>
      <c r="M12" s="16"/>
      <c r="N12" s="16">
        <f>1+N11</f>
        <v>9</v>
      </c>
    </row>
    <row r="13" ht="21.2" customHeight="1">
      <c r="B13" s="26"/>
      <c r="C13" s="15">
        <v>74</v>
      </c>
      <c r="D13" s="16">
        <v>9.300000000000001</v>
      </c>
      <c r="E13" s="16">
        <v>0</v>
      </c>
      <c r="F13" s="16"/>
      <c r="G13" s="16"/>
      <c r="H13" s="16">
        <v>-45</v>
      </c>
      <c r="I13" s="32">
        <f>D13+E13</f>
        <v>9.300000000000001</v>
      </c>
      <c r="J13" s="32">
        <f>AVERAGE(I10:I13)</f>
        <v>11.15</v>
      </c>
      <c r="K13" s="16"/>
      <c r="L13" s="16">
        <f>-H13+L12</f>
        <v>72.59999999999999</v>
      </c>
      <c r="M13" s="16"/>
      <c r="N13" s="16">
        <f>1+N12</f>
        <v>10</v>
      </c>
    </row>
    <row r="14" ht="21.2" customHeight="1">
      <c r="B14" s="26"/>
      <c r="C14" s="15">
        <v>68</v>
      </c>
      <c r="D14" s="16">
        <v>9</v>
      </c>
      <c r="E14" s="16">
        <v>-7.2</v>
      </c>
      <c r="F14" s="16"/>
      <c r="G14" s="16"/>
      <c r="H14" s="16">
        <v>-1</v>
      </c>
      <c r="I14" s="32">
        <f>D14+E14</f>
        <v>1.8</v>
      </c>
      <c r="J14" s="32">
        <f>AVERAGE(I11:I14)</f>
        <v>12.375</v>
      </c>
      <c r="K14" s="16"/>
      <c r="L14" s="16">
        <f>-H14+L13</f>
        <v>73.59999999999999</v>
      </c>
      <c r="M14" s="16"/>
      <c r="N14" s="16">
        <f>1+N13</f>
        <v>11</v>
      </c>
    </row>
    <row r="15" ht="21.2" customHeight="1">
      <c r="B15" s="26"/>
      <c r="C15" s="15">
        <v>99</v>
      </c>
      <c r="D15" s="16">
        <v>-7.1</v>
      </c>
      <c r="E15" s="16">
        <v>-4.5</v>
      </c>
      <c r="F15" s="16"/>
      <c r="G15" s="16"/>
      <c r="H15" s="16">
        <v>-4.6</v>
      </c>
      <c r="I15" s="32">
        <f>D15+E15</f>
        <v>-11.6</v>
      </c>
      <c r="J15" s="32">
        <f>AVERAGE(I12:I15)</f>
        <v>3.15</v>
      </c>
      <c r="K15" s="16"/>
      <c r="L15" s="16">
        <f>-H15+L14</f>
        <v>78.2</v>
      </c>
      <c r="M15" s="16"/>
      <c r="N15" s="16">
        <f>1+N14</f>
        <v>12</v>
      </c>
    </row>
    <row r="16" ht="21.2" customHeight="1">
      <c r="B16" s="27">
        <v>2019</v>
      </c>
      <c r="C16" s="15">
        <v>98</v>
      </c>
      <c r="D16" s="16">
        <v>12.8</v>
      </c>
      <c r="E16" s="16">
        <v>-2.8</v>
      </c>
      <c r="F16" s="16"/>
      <c r="G16" s="16"/>
      <c r="H16" s="16">
        <v>0</v>
      </c>
      <c r="I16" s="32">
        <f>D16+E16</f>
        <v>10</v>
      </c>
      <c r="J16" s="32">
        <f>AVERAGE(I13:I16)</f>
        <v>2.375</v>
      </c>
      <c r="K16" s="16"/>
      <c r="L16" s="16">
        <f>-H16+L15</f>
        <v>78.2</v>
      </c>
      <c r="M16" s="16"/>
      <c r="N16" s="16">
        <f>1+N15</f>
        <v>13</v>
      </c>
    </row>
    <row r="17" ht="21.2" customHeight="1">
      <c r="B17" s="26"/>
      <c r="C17" s="15">
        <v>54</v>
      </c>
      <c r="D17" s="16">
        <v>-2</v>
      </c>
      <c r="E17" s="16">
        <v>-0.4</v>
      </c>
      <c r="F17" s="16"/>
      <c r="G17" s="16"/>
      <c r="H17" s="16">
        <v>-6.9</v>
      </c>
      <c r="I17" s="32">
        <f>D17+E17</f>
        <v>-2.4</v>
      </c>
      <c r="J17" s="32">
        <f>AVERAGE(I14:I17)</f>
        <v>-0.55</v>
      </c>
      <c r="K17" s="16"/>
      <c r="L17" s="16">
        <f>-H17+L16</f>
        <v>85.09999999999999</v>
      </c>
      <c r="M17" s="16"/>
      <c r="N17" s="16">
        <f>1+N16</f>
        <v>14</v>
      </c>
    </row>
    <row r="18" ht="21.2" customHeight="1">
      <c r="B18" s="26"/>
      <c r="C18" s="15">
        <v>57</v>
      </c>
      <c r="D18" s="16">
        <v>6.8</v>
      </c>
      <c r="E18" s="16">
        <v>1.3</v>
      </c>
      <c r="F18" s="16"/>
      <c r="G18" s="16"/>
      <c r="H18" s="16">
        <v>-1.8</v>
      </c>
      <c r="I18" s="32">
        <f>D18+E18</f>
        <v>8.1</v>
      </c>
      <c r="J18" s="32">
        <f>AVERAGE(I15:I18)</f>
        <v>1.025</v>
      </c>
      <c r="K18" s="16"/>
      <c r="L18" s="16">
        <f>-H18+L17</f>
        <v>86.90000000000001</v>
      </c>
      <c r="M18" s="16"/>
      <c r="N18" s="16">
        <f>1+N17</f>
        <v>15</v>
      </c>
    </row>
    <row r="19" ht="21.2" customHeight="1">
      <c r="B19" s="26"/>
      <c r="C19" s="15">
        <v>66</v>
      </c>
      <c r="D19" s="16">
        <v>6</v>
      </c>
      <c r="E19" s="16">
        <v>-2.5</v>
      </c>
      <c r="F19" s="16"/>
      <c r="G19" s="16"/>
      <c r="H19" s="16">
        <v>-0.3</v>
      </c>
      <c r="I19" s="32">
        <f>D19+E19</f>
        <v>3.5</v>
      </c>
      <c r="J19" s="32">
        <f>AVERAGE(I16:I19)</f>
        <v>4.8</v>
      </c>
      <c r="K19" s="16"/>
      <c r="L19" s="16">
        <f>-H19+L18</f>
        <v>87.2</v>
      </c>
      <c r="M19" s="16"/>
      <c r="N19" s="16">
        <f>1+N18</f>
        <v>16</v>
      </c>
    </row>
    <row r="20" ht="21.2" customHeight="1">
      <c r="B20" s="27">
        <v>2020</v>
      </c>
      <c r="C20" s="15">
        <v>66</v>
      </c>
      <c r="D20" s="16">
        <v>20.7</v>
      </c>
      <c r="E20" s="16">
        <v>-0.8</v>
      </c>
      <c r="F20" s="16"/>
      <c r="G20" s="16"/>
      <c r="H20" s="16">
        <v>-3.1</v>
      </c>
      <c r="I20" s="32">
        <f>D20+E20</f>
        <v>19.9</v>
      </c>
      <c r="J20" s="32">
        <f>AVERAGE(I17:I20)</f>
        <v>7.275</v>
      </c>
      <c r="K20" s="16"/>
      <c r="L20" s="16">
        <f>-H20+L19</f>
        <v>90.3</v>
      </c>
      <c r="M20" s="16"/>
      <c r="N20" s="16">
        <f>1+N19</f>
        <v>17</v>
      </c>
    </row>
    <row r="21" ht="21.2" customHeight="1">
      <c r="B21" s="26"/>
      <c r="C21" s="15">
        <v>44</v>
      </c>
      <c r="D21" s="16">
        <v>21.8</v>
      </c>
      <c r="E21" s="16">
        <v>-27.9</v>
      </c>
      <c r="F21" s="16"/>
      <c r="G21" s="16"/>
      <c r="H21" s="16">
        <v>-1</v>
      </c>
      <c r="I21" s="32">
        <f>D21+E21</f>
        <v>-6.1</v>
      </c>
      <c r="J21" s="32">
        <f>AVERAGE(I18:I21)</f>
        <v>6.35</v>
      </c>
      <c r="K21" s="16"/>
      <c r="L21" s="16">
        <f>-H21+L20</f>
        <v>91.3</v>
      </c>
      <c r="M21" s="16"/>
      <c r="N21" s="16">
        <f>1+N20</f>
        <v>18</v>
      </c>
    </row>
    <row r="22" ht="21.2" customHeight="1">
      <c r="B22" s="26"/>
      <c r="C22" s="15">
        <v>34</v>
      </c>
      <c r="D22" s="16">
        <v>2.3</v>
      </c>
      <c r="E22" s="16">
        <v>0</v>
      </c>
      <c r="F22" s="16"/>
      <c r="G22" s="16"/>
      <c r="H22" s="16">
        <v>0.5</v>
      </c>
      <c r="I22" s="32">
        <f>D22+E22</f>
        <v>2.3</v>
      </c>
      <c r="J22" s="32">
        <f>AVERAGE(I19:I22)</f>
        <v>4.9</v>
      </c>
      <c r="K22" s="16"/>
      <c r="L22" s="16">
        <f>-H22+L21</f>
        <v>90.8</v>
      </c>
      <c r="M22" s="16"/>
      <c r="N22" s="16">
        <f>1+N21</f>
        <v>19</v>
      </c>
    </row>
    <row r="23" ht="21.2" customHeight="1">
      <c r="B23" s="26"/>
      <c r="C23" s="33">
        <f>171.5-SUM(C20:C22)</f>
        <v>27.5</v>
      </c>
      <c r="D23" s="32">
        <f>47.7-SUM(D20:D22)</f>
        <v>2.9</v>
      </c>
      <c r="E23" s="32">
        <f>-58.5-SUM(E20:E22)</f>
        <v>-29.8</v>
      </c>
      <c r="F23" s="32"/>
      <c r="G23" s="32"/>
      <c r="H23" s="32">
        <f>-4.6-SUM(H20:H22)</f>
        <v>-1</v>
      </c>
      <c r="I23" s="32">
        <f>D23+E23</f>
        <v>-26.9</v>
      </c>
      <c r="J23" s="32">
        <f>AVERAGE(I20:I23)</f>
        <v>-2.7</v>
      </c>
      <c r="K23" s="16"/>
      <c r="L23" s="16">
        <f>-H23+L22</f>
        <v>91.8</v>
      </c>
      <c r="M23" s="16"/>
      <c r="N23" s="16">
        <f>1+N22</f>
        <v>20</v>
      </c>
    </row>
    <row r="24" ht="21.2" customHeight="1">
      <c r="B24" s="27">
        <v>2021</v>
      </c>
      <c r="C24" s="33">
        <v>51.7</v>
      </c>
      <c r="D24" s="32">
        <v>17.7</v>
      </c>
      <c r="E24" s="32">
        <v>-151.3</v>
      </c>
      <c r="F24" s="32">
        <v>68.59399999999999</v>
      </c>
      <c r="G24" s="32"/>
      <c r="H24" s="32">
        <v>68.59999999999999</v>
      </c>
      <c r="I24" s="32">
        <f>D24+E24</f>
        <v>-133.6</v>
      </c>
      <c r="J24" s="32">
        <f>AVERAGE(I21:I24)</f>
        <v>-41.075</v>
      </c>
      <c r="K24" s="16"/>
      <c r="L24" s="16">
        <f>-H24+L23</f>
        <v>23.2</v>
      </c>
      <c r="M24" s="16"/>
      <c r="N24" s="16">
        <f>1+N23</f>
        <v>21</v>
      </c>
    </row>
    <row r="25" ht="21.2" customHeight="1">
      <c r="B25" s="26"/>
      <c r="C25" s="33">
        <f>110-C24</f>
        <v>58.3</v>
      </c>
      <c r="D25" s="32">
        <f>42.7-D24</f>
        <v>25</v>
      </c>
      <c r="E25" s="32">
        <f>-199.1-E24</f>
        <v>-47.8</v>
      </c>
      <c r="F25" s="32">
        <f>81.548-F24</f>
        <v>12.954</v>
      </c>
      <c r="G25" s="32"/>
      <c r="H25" s="32">
        <f>81.5-H24</f>
        <v>12.9</v>
      </c>
      <c r="I25" s="32">
        <f>D25+E25</f>
        <v>-22.8</v>
      </c>
      <c r="J25" s="32">
        <f>AVERAGE(I23:I25)</f>
        <v>-61.1</v>
      </c>
      <c r="K25" s="16"/>
      <c r="L25" s="16">
        <f>-H25+L24</f>
        <v>10.3</v>
      </c>
      <c r="M25" s="16"/>
      <c r="N25" s="16">
        <f>1+N24</f>
        <v>22</v>
      </c>
    </row>
    <row r="26" ht="21.2" customHeight="1">
      <c r="B26" s="26"/>
      <c r="C26" s="33">
        <f>190.4-SUM(C24:C25)</f>
        <v>80.40000000000001</v>
      </c>
      <c r="D26" s="32">
        <f>69.1-SUM(D24:D25)</f>
        <v>26.4</v>
      </c>
      <c r="E26" s="32">
        <f>-241-SUM(E24:E25)</f>
        <v>-41.9</v>
      </c>
      <c r="F26" s="32">
        <f>116.1-F25-F24-G26-G25-G24</f>
        <v>13.292</v>
      </c>
      <c r="G26" s="32">
        <f>29.5-7.007-1.233</f>
        <v>21.26</v>
      </c>
      <c r="H26" s="32">
        <f>116.1-SUM(H24:H25)</f>
        <v>34.6</v>
      </c>
      <c r="I26" s="32">
        <f>D26+E26</f>
        <v>-15.5</v>
      </c>
      <c r="J26" s="32">
        <f>AVERAGE(I24:I26)</f>
        <v>-57.3</v>
      </c>
      <c r="K26" s="16"/>
      <c r="L26" s="16">
        <f>-H26+L25</f>
        <v>-24.3</v>
      </c>
      <c r="M26" s="16"/>
      <c r="N26" s="16">
        <f>1+N25</f>
        <v>23</v>
      </c>
    </row>
    <row r="27" ht="21.2" customHeight="1">
      <c r="B27" s="26"/>
      <c r="C27" s="33">
        <f>322.5-SUM(C24:C26)</f>
        <v>132.1</v>
      </c>
      <c r="D27" s="32">
        <f>129.5-SUM(D24:D26)</f>
        <v>60.4</v>
      </c>
      <c r="E27" s="32">
        <f>-275.2-SUM(E24:E26)</f>
        <v>-34.2</v>
      </c>
      <c r="F27" s="32">
        <f>H27-G27</f>
        <v>-26.04</v>
      </c>
      <c r="G27" s="32">
        <f>-7-7.4+29.5-SUM(G24:G26)</f>
        <v>-6.16</v>
      </c>
      <c r="H27" s="32">
        <f>83.9-SUM(H24:H26)</f>
        <v>-32.2</v>
      </c>
      <c r="I27" s="32">
        <f>D27+E27</f>
        <v>26.2</v>
      </c>
      <c r="J27" s="32">
        <f>AVERAGE(I25:I27)</f>
        <v>-4.03333333333333</v>
      </c>
      <c r="K27" s="16"/>
      <c r="L27" s="16">
        <f>-H27+L26</f>
        <v>7.9</v>
      </c>
      <c r="M27" s="16"/>
      <c r="N27" s="16">
        <f>1+N26</f>
        <v>24</v>
      </c>
    </row>
    <row r="28" ht="21.2" customHeight="1">
      <c r="B28" s="27">
        <v>2022</v>
      </c>
      <c r="C28" s="33">
        <v>113.5</v>
      </c>
      <c r="D28" s="32">
        <v>32.4</v>
      </c>
      <c r="E28" s="32">
        <v>-1</v>
      </c>
      <c r="F28" s="32">
        <f>2.6</f>
        <v>2.6</v>
      </c>
      <c r="G28" s="32">
        <f>17.4-0.3</f>
        <v>17.1</v>
      </c>
      <c r="H28" s="32">
        <v>19.4</v>
      </c>
      <c r="I28" s="32">
        <f>D28+E28</f>
        <v>31.4</v>
      </c>
      <c r="J28" s="32">
        <f>AVERAGE(I26:I28)</f>
        <v>14.0333333333333</v>
      </c>
      <c r="K28" s="16">
        <v>59.17282974</v>
      </c>
      <c r="L28" s="16">
        <f>-H28+L27</f>
        <v>-11.5</v>
      </c>
      <c r="M28" s="16">
        <v>181.064267044</v>
      </c>
      <c r="N28" s="16">
        <f>1+N27</f>
        <v>25</v>
      </c>
    </row>
    <row r="29" ht="21.2" customHeight="1">
      <c r="B29" s="26"/>
      <c r="C29" s="33"/>
      <c r="D29" s="32"/>
      <c r="E29" s="32"/>
      <c r="F29" s="32"/>
      <c r="G29" s="32"/>
      <c r="H29" s="32"/>
      <c r="I29" s="32"/>
      <c r="J29" s="19"/>
      <c r="K29" s="32">
        <f>SUM('Model'!F9:F10)</f>
        <v>77.276127333426</v>
      </c>
      <c r="L29" s="19"/>
      <c r="M29" s="16">
        <f>'Model'!F34</f>
        <v>200.924243717209</v>
      </c>
      <c r="N29" s="16"/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4" customWidth="1"/>
    <col min="2" max="11" width="9.21875" style="34" customWidth="1"/>
    <col min="12" max="16384" width="16.3516" style="34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22</v>
      </c>
      <c r="F3" t="s" s="5">
        <v>23</v>
      </c>
      <c r="G3" t="s" s="5">
        <v>11</v>
      </c>
      <c r="H3" t="s" s="5">
        <v>14</v>
      </c>
      <c r="I3" t="s" s="5">
        <v>52</v>
      </c>
      <c r="J3" t="s" s="5">
        <v>26</v>
      </c>
      <c r="K3" t="s" s="5">
        <v>35</v>
      </c>
    </row>
    <row r="4" ht="20.25" customHeight="1">
      <c r="B4" s="23">
        <v>2016</v>
      </c>
      <c r="C4" s="24">
        <v>199</v>
      </c>
      <c r="D4" s="25">
        <v>379</v>
      </c>
      <c r="E4" s="25">
        <f>D4-C4</f>
        <v>180</v>
      </c>
      <c r="F4" s="25"/>
      <c r="G4" s="25">
        <v>34</v>
      </c>
      <c r="H4" s="25">
        <v>345</v>
      </c>
      <c r="I4" s="25">
        <f>G4+H4-C4-E4</f>
        <v>0</v>
      </c>
      <c r="J4" s="25">
        <f>C4-G4</f>
        <v>165</v>
      </c>
      <c r="K4" s="25"/>
    </row>
    <row r="5" ht="20.05" customHeight="1">
      <c r="B5" s="26"/>
      <c r="C5" s="15">
        <v>194</v>
      </c>
      <c r="D5" s="16">
        <v>381</v>
      </c>
      <c r="E5" s="16">
        <f>D5-C5</f>
        <v>187</v>
      </c>
      <c r="F5" s="16"/>
      <c r="G5" s="16">
        <v>32</v>
      </c>
      <c r="H5" s="16">
        <v>349</v>
      </c>
      <c r="I5" s="16">
        <f>G5+H5-C5-E5</f>
        <v>0</v>
      </c>
      <c r="J5" s="16">
        <f>C5-G5</f>
        <v>162</v>
      </c>
      <c r="K5" s="16"/>
    </row>
    <row r="6" ht="20.05" customHeight="1">
      <c r="B6" s="26"/>
      <c r="C6" s="15">
        <v>203</v>
      </c>
      <c r="D6" s="16">
        <v>393</v>
      </c>
      <c r="E6" s="16">
        <f>D6-C6</f>
        <v>190</v>
      </c>
      <c r="F6" s="16"/>
      <c r="G6" s="16">
        <v>39</v>
      </c>
      <c r="H6" s="16">
        <v>354</v>
      </c>
      <c r="I6" s="16">
        <f>G6+H6-C6-E6</f>
        <v>0</v>
      </c>
      <c r="J6" s="16">
        <f>C6-G6</f>
        <v>164</v>
      </c>
      <c r="K6" s="16"/>
    </row>
    <row r="7" ht="20.05" customHeight="1">
      <c r="B7" s="26"/>
      <c r="C7" s="15">
        <v>231</v>
      </c>
      <c r="D7" s="16">
        <v>413</v>
      </c>
      <c r="E7" s="16">
        <f>D7-C7</f>
        <v>182</v>
      </c>
      <c r="F7" s="16"/>
      <c r="G7" s="16">
        <v>58</v>
      </c>
      <c r="H7" s="16">
        <v>355</v>
      </c>
      <c r="I7" s="16">
        <f>G7+H7-C7-E7</f>
        <v>0</v>
      </c>
      <c r="J7" s="16">
        <f>C7-G7</f>
        <v>173</v>
      </c>
      <c r="K7" s="16"/>
    </row>
    <row r="8" ht="20.05" customHeight="1">
      <c r="B8" s="27">
        <v>2017</v>
      </c>
      <c r="C8" s="15">
        <v>232</v>
      </c>
      <c r="D8" s="16">
        <v>423</v>
      </c>
      <c r="E8" s="16">
        <f>D8-C8</f>
        <v>191</v>
      </c>
      <c r="F8" s="16"/>
      <c r="G8" s="16">
        <v>54</v>
      </c>
      <c r="H8" s="16">
        <v>369</v>
      </c>
      <c r="I8" s="16">
        <f>G8+H8-C8-E8</f>
        <v>0</v>
      </c>
      <c r="J8" s="16">
        <f>C8-G8</f>
        <v>178</v>
      </c>
      <c r="K8" s="16"/>
    </row>
    <row r="9" ht="20.05" customHeight="1">
      <c r="B9" s="26"/>
      <c r="C9" s="15">
        <v>248</v>
      </c>
      <c r="D9" s="16">
        <v>437</v>
      </c>
      <c r="E9" s="16">
        <f>D9-C9</f>
        <v>189</v>
      </c>
      <c r="F9" s="16"/>
      <c r="G9" s="16">
        <v>63</v>
      </c>
      <c r="H9" s="16">
        <v>374</v>
      </c>
      <c r="I9" s="16">
        <f>G9+H9-C9-E9</f>
        <v>0</v>
      </c>
      <c r="J9" s="16">
        <f>C9-G9</f>
        <v>185</v>
      </c>
      <c r="K9" s="16"/>
    </row>
    <row r="10" ht="20.05" customHeight="1">
      <c r="B10" s="26"/>
      <c r="C10" s="15">
        <v>241</v>
      </c>
      <c r="D10" s="16">
        <v>431</v>
      </c>
      <c r="E10" s="16">
        <f>D10-C10</f>
        <v>190</v>
      </c>
      <c r="F10" s="16"/>
      <c r="G10" s="16">
        <v>47</v>
      </c>
      <c r="H10" s="16">
        <v>384</v>
      </c>
      <c r="I10" s="16">
        <f>G10+H10-C10-E10</f>
        <v>0</v>
      </c>
      <c r="J10" s="16">
        <f>C10-G10</f>
        <v>194</v>
      </c>
      <c r="K10" s="16"/>
    </row>
    <row r="11" ht="20.05" customHeight="1">
      <c r="B11" s="26"/>
      <c r="C11" s="15">
        <v>266</v>
      </c>
      <c r="D11" s="16">
        <v>459</v>
      </c>
      <c r="E11" s="16">
        <f>D11-C11</f>
        <v>193</v>
      </c>
      <c r="F11" s="16"/>
      <c r="G11" s="16">
        <v>64</v>
      </c>
      <c r="H11" s="16">
        <v>396</v>
      </c>
      <c r="I11" s="16">
        <f>G11+H11-C11-E11</f>
        <v>1</v>
      </c>
      <c r="J11" s="16">
        <f>C11-G11</f>
        <v>202</v>
      </c>
      <c r="K11" s="16"/>
    </row>
    <row r="12" ht="20.05" customHeight="1">
      <c r="B12" s="27">
        <v>2018</v>
      </c>
      <c r="C12" s="15">
        <v>267</v>
      </c>
      <c r="D12" s="16">
        <v>470</v>
      </c>
      <c r="E12" s="16">
        <f>D12-C12</f>
        <v>203</v>
      </c>
      <c r="F12" s="16"/>
      <c r="G12" s="16">
        <v>59</v>
      </c>
      <c r="H12" s="16">
        <v>411</v>
      </c>
      <c r="I12" s="16">
        <f>G12+H12-C12-E12</f>
        <v>0</v>
      </c>
      <c r="J12" s="16">
        <f>C12-G12</f>
        <v>208</v>
      </c>
      <c r="K12" s="16"/>
    </row>
    <row r="13" ht="20.05" customHeight="1">
      <c r="B13" s="26"/>
      <c r="C13" s="15">
        <v>232</v>
      </c>
      <c r="D13" s="16">
        <v>434</v>
      </c>
      <c r="E13" s="16">
        <f>D13-C13</f>
        <v>202</v>
      </c>
      <c r="F13" s="16"/>
      <c r="G13" s="16">
        <v>63</v>
      </c>
      <c r="H13" s="16">
        <v>371</v>
      </c>
      <c r="I13" s="16">
        <f>G13+H13-C13-E13</f>
        <v>0</v>
      </c>
      <c r="J13" s="16">
        <f>C13-G13</f>
        <v>169</v>
      </c>
      <c r="K13" s="16"/>
    </row>
    <row r="14" ht="20.05" customHeight="1">
      <c r="B14" s="26"/>
      <c r="C14" s="15">
        <v>233</v>
      </c>
      <c r="D14" s="16">
        <v>464</v>
      </c>
      <c r="E14" s="16">
        <f>D14-C14</f>
        <v>231</v>
      </c>
      <c r="F14" s="16"/>
      <c r="G14" s="16">
        <v>87</v>
      </c>
      <c r="H14" s="16">
        <v>377</v>
      </c>
      <c r="I14" s="16">
        <f>G14+H14-C14-E14</f>
        <v>0</v>
      </c>
      <c r="J14" s="16">
        <f>C14-G14</f>
        <v>146</v>
      </c>
      <c r="K14" s="16"/>
    </row>
    <row r="15" ht="20.05" customHeight="1">
      <c r="B15" s="26"/>
      <c r="C15" s="15">
        <v>216</v>
      </c>
      <c r="D15" s="16">
        <v>468</v>
      </c>
      <c r="E15" s="16">
        <f>D15-C15</f>
        <v>252</v>
      </c>
      <c r="F15" s="16"/>
      <c r="G15" s="16">
        <v>79.5</v>
      </c>
      <c r="H15" s="16">
        <v>389</v>
      </c>
      <c r="I15" s="16">
        <f>G15+H15-C15-E15</f>
        <v>0.5</v>
      </c>
      <c r="J15" s="16">
        <f>C15-G15</f>
        <v>136.5</v>
      </c>
      <c r="K15" s="16"/>
    </row>
    <row r="16" ht="20.05" customHeight="1">
      <c r="B16" s="27">
        <v>2019</v>
      </c>
      <c r="C16" s="15">
        <v>226</v>
      </c>
      <c r="D16" s="16">
        <v>445</v>
      </c>
      <c r="E16" s="16">
        <f>D16-C16</f>
        <v>219</v>
      </c>
      <c r="F16" s="16"/>
      <c r="G16" s="16">
        <v>49</v>
      </c>
      <c r="H16" s="16">
        <v>396</v>
      </c>
      <c r="I16" s="16">
        <f>G16+H16-C16-E16</f>
        <v>0</v>
      </c>
      <c r="J16" s="16">
        <f>C16-G16</f>
        <v>177</v>
      </c>
      <c r="K16" s="16"/>
    </row>
    <row r="17" ht="20.05" customHeight="1">
      <c r="B17" s="26"/>
      <c r="C17" s="15">
        <v>217</v>
      </c>
      <c r="D17" s="16">
        <v>440</v>
      </c>
      <c r="E17" s="16">
        <f>D17-C17</f>
        <v>223</v>
      </c>
      <c r="F17" s="16"/>
      <c r="G17" s="16">
        <v>42.6</v>
      </c>
      <c r="H17" s="16">
        <v>397</v>
      </c>
      <c r="I17" s="16">
        <f>G17+H17-C17-E17</f>
        <v>-0.4</v>
      </c>
      <c r="J17" s="16">
        <f>C17-G17</f>
        <v>174.4</v>
      </c>
      <c r="K17" s="16"/>
    </row>
    <row r="18" ht="20.05" customHeight="1">
      <c r="B18" s="26"/>
      <c r="C18" s="15">
        <v>224</v>
      </c>
      <c r="D18" s="16">
        <v>454</v>
      </c>
      <c r="E18" s="16">
        <f>D18-C18</f>
        <v>230</v>
      </c>
      <c r="F18" s="16"/>
      <c r="G18" s="16">
        <v>54</v>
      </c>
      <c r="H18" s="16">
        <v>400</v>
      </c>
      <c r="I18" s="16">
        <f>G18+H18-C18-E18</f>
        <v>0</v>
      </c>
      <c r="J18" s="16">
        <f>C18-G18</f>
        <v>170</v>
      </c>
      <c r="K18" s="16"/>
    </row>
    <row r="19" ht="20.05" customHeight="1">
      <c r="B19" s="26"/>
      <c r="C19" s="15">
        <v>226</v>
      </c>
      <c r="D19" s="16">
        <v>447</v>
      </c>
      <c r="E19" s="16">
        <f>D19-C19</f>
        <v>221</v>
      </c>
      <c r="F19" s="16">
        <f>105+35</f>
        <v>140</v>
      </c>
      <c r="G19" s="16">
        <v>47.4</v>
      </c>
      <c r="H19" s="16">
        <v>400</v>
      </c>
      <c r="I19" s="16">
        <f>G19+H19-C19-E19</f>
        <v>0.4</v>
      </c>
      <c r="J19" s="16">
        <f>C19-G19</f>
        <v>178.6</v>
      </c>
      <c r="K19" s="16"/>
    </row>
    <row r="20" ht="20.05" customHeight="1">
      <c r="B20" s="27">
        <v>2020</v>
      </c>
      <c r="C20" s="15">
        <v>243</v>
      </c>
      <c r="D20" s="16">
        <v>445</v>
      </c>
      <c r="E20" s="16">
        <f>D20-C20</f>
        <v>202</v>
      </c>
      <c r="F20" s="16">
        <f>107+36</f>
        <v>143</v>
      </c>
      <c r="G20" s="16">
        <v>47.5</v>
      </c>
      <c r="H20" s="16">
        <v>398</v>
      </c>
      <c r="I20" s="16">
        <f>G20+H20-C20-E20</f>
        <v>0.5</v>
      </c>
      <c r="J20" s="16">
        <f>C20-G20</f>
        <v>195.5</v>
      </c>
      <c r="K20" s="16"/>
    </row>
    <row r="21" ht="20.05" customHeight="1">
      <c r="B21" s="26"/>
      <c r="C21" s="15">
        <v>236</v>
      </c>
      <c r="D21" s="16">
        <v>467</v>
      </c>
      <c r="E21" s="16">
        <f>D21-C21</f>
        <v>231</v>
      </c>
      <c r="F21" s="16">
        <f>109+37</f>
        <v>146</v>
      </c>
      <c r="G21" s="16">
        <v>47</v>
      </c>
      <c r="H21" s="16">
        <v>420</v>
      </c>
      <c r="I21" s="16">
        <f>G21+H21-C21-E21</f>
        <v>0</v>
      </c>
      <c r="J21" s="16">
        <f>C21-G21</f>
        <v>189</v>
      </c>
      <c r="K21" s="16"/>
    </row>
    <row r="22" ht="20.05" customHeight="1">
      <c r="B22" s="26"/>
      <c r="C22" s="15">
        <v>239</v>
      </c>
      <c r="D22" s="16">
        <v>465</v>
      </c>
      <c r="E22" s="16">
        <f>D22-C22</f>
        <v>226</v>
      </c>
      <c r="F22" s="16">
        <f>112+38</f>
        <v>150</v>
      </c>
      <c r="G22" s="16">
        <v>42.7</v>
      </c>
      <c r="H22" s="16">
        <v>422</v>
      </c>
      <c r="I22" s="16">
        <f>G22+H22-C22-E22</f>
        <v>-0.3</v>
      </c>
      <c r="J22" s="16">
        <f>C22-G22</f>
        <v>196.3</v>
      </c>
      <c r="K22" s="16"/>
    </row>
    <row r="23" ht="20.05" customHeight="1">
      <c r="B23" s="26"/>
      <c r="C23" s="15">
        <v>211</v>
      </c>
      <c r="D23" s="16">
        <v>498.7</v>
      </c>
      <c r="E23" s="16">
        <f>D23-C23</f>
        <v>287.7</v>
      </c>
      <c r="F23" s="16">
        <f>115+39</f>
        <v>154</v>
      </c>
      <c r="G23" s="16">
        <v>43.9</v>
      </c>
      <c r="H23" s="32">
        <v>454.7</v>
      </c>
      <c r="I23" s="16">
        <f>G23+H23-C23-E23</f>
        <v>-0.1</v>
      </c>
      <c r="J23" s="16">
        <f>C23-G23</f>
        <v>167.1</v>
      </c>
      <c r="K23" s="28"/>
    </row>
    <row r="24" ht="20.05" customHeight="1">
      <c r="B24" s="27">
        <v>2021</v>
      </c>
      <c r="C24" s="15">
        <v>146</v>
      </c>
      <c r="D24" s="16">
        <v>595</v>
      </c>
      <c r="E24" s="16">
        <f>D24-C24</f>
        <v>449</v>
      </c>
      <c r="F24" s="16">
        <f>117+40</f>
        <v>157</v>
      </c>
      <c r="G24" s="16">
        <v>119</v>
      </c>
      <c r="H24" s="32">
        <v>476</v>
      </c>
      <c r="I24" s="16">
        <f>G24+H24-C24-E24</f>
        <v>0</v>
      </c>
      <c r="J24" s="16">
        <f>C24-G24</f>
        <v>27</v>
      </c>
      <c r="K24" s="16"/>
    </row>
    <row r="25" ht="20.05" customHeight="1">
      <c r="B25" s="26"/>
      <c r="C25" s="15">
        <v>136</v>
      </c>
      <c r="D25" s="16">
        <v>614</v>
      </c>
      <c r="E25" s="16">
        <f>D25-C25</f>
        <v>478</v>
      </c>
      <c r="F25" s="16">
        <f>119+42</f>
        <v>161</v>
      </c>
      <c r="G25" s="16">
        <v>146</v>
      </c>
      <c r="H25" s="32">
        <v>468</v>
      </c>
      <c r="I25" s="16">
        <f>G25+H25-C25-E25</f>
        <v>0</v>
      </c>
      <c r="J25" s="16">
        <f>C25-G25</f>
        <v>-10</v>
      </c>
      <c r="K25" s="16"/>
    </row>
    <row r="26" ht="20.05" customHeight="1">
      <c r="B26" s="26"/>
      <c r="C26" s="15">
        <v>155</v>
      </c>
      <c r="D26" s="16">
        <v>693</v>
      </c>
      <c r="E26" s="16">
        <f>D26-C26</f>
        <v>538</v>
      </c>
      <c r="F26" s="16">
        <f>122+43</f>
        <v>165</v>
      </c>
      <c r="G26" s="16">
        <v>164</v>
      </c>
      <c r="H26" s="32">
        <v>529</v>
      </c>
      <c r="I26" s="16">
        <f>G26+H26-C26-E26</f>
        <v>0</v>
      </c>
      <c r="J26" s="16">
        <f>C26-G26</f>
        <v>-9</v>
      </c>
      <c r="K26" s="16"/>
    </row>
    <row r="27" ht="20.05" customHeight="1">
      <c r="B27" s="26"/>
      <c r="C27" s="15">
        <v>149</v>
      </c>
      <c r="D27" s="16">
        <v>875</v>
      </c>
      <c r="E27" s="16">
        <f>D27-C27</f>
        <v>726</v>
      </c>
      <c r="F27" s="16">
        <f>46+124</f>
        <v>170</v>
      </c>
      <c r="G27" s="16">
        <v>224</v>
      </c>
      <c r="H27" s="32">
        <v>651</v>
      </c>
      <c r="I27" s="16">
        <f>G27+H27-C27-E27</f>
        <v>0</v>
      </c>
      <c r="J27" s="16">
        <f>C27-G27</f>
        <v>-75</v>
      </c>
      <c r="K27" s="16"/>
    </row>
    <row r="28" ht="20.05" customHeight="1">
      <c r="B28" s="27">
        <v>2022</v>
      </c>
      <c r="C28" s="15">
        <v>200</v>
      </c>
      <c r="D28" s="16">
        <v>990</v>
      </c>
      <c r="E28" s="16">
        <f>D28-C28</f>
        <v>790</v>
      </c>
      <c r="F28" s="16">
        <f>125+49</f>
        <v>174</v>
      </c>
      <c r="G28" s="16">
        <v>245</v>
      </c>
      <c r="H28" s="32">
        <v>745</v>
      </c>
      <c r="I28" s="16">
        <f>G28+H28-C28-E28</f>
        <v>0</v>
      </c>
      <c r="J28" s="16">
        <f>C28-G28</f>
        <v>-45</v>
      </c>
      <c r="K28" s="16">
        <v>5.142444696</v>
      </c>
    </row>
    <row r="29" ht="20.05" customHeight="1">
      <c r="B29" s="26"/>
      <c r="C29" s="15"/>
      <c r="D29" s="16"/>
      <c r="E29" s="16"/>
      <c r="F29" s="16"/>
      <c r="G29" s="16"/>
      <c r="H29" s="32"/>
      <c r="I29" s="16"/>
      <c r="J29" s="16"/>
      <c r="K29" s="16">
        <f>'Model'!F31</f>
        <v>84.31884997813999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5" customWidth="1"/>
    <col min="2" max="5" width="9.9375" style="35" customWidth="1"/>
    <col min="6" max="16384" width="16.3516" style="35" customWidth="1"/>
  </cols>
  <sheetData>
    <row r="1" ht="30.75" customHeight="1"/>
    <row r="2" ht="27.65" customHeight="1">
      <c r="B2" t="s" s="2">
        <v>53</v>
      </c>
      <c r="C2" s="2"/>
      <c r="D2" s="2"/>
      <c r="E2" s="2"/>
    </row>
    <row r="3" ht="20.25" customHeight="1">
      <c r="B3" s="4"/>
      <c r="C3" t="s" s="36">
        <v>54</v>
      </c>
      <c r="D3" t="s" s="36">
        <v>38</v>
      </c>
      <c r="E3" t="s" s="36">
        <v>55</v>
      </c>
    </row>
    <row r="4" ht="20.25" customHeight="1">
      <c r="B4" s="23">
        <v>2018</v>
      </c>
      <c r="C4" s="37">
        <v>2720</v>
      </c>
      <c r="D4" s="38"/>
      <c r="E4" s="38"/>
    </row>
    <row r="5" ht="20.05" customHeight="1">
      <c r="B5" s="26"/>
      <c r="C5" s="39">
        <v>2480</v>
      </c>
      <c r="D5" s="40"/>
      <c r="E5" s="40"/>
    </row>
    <row r="6" ht="20.05" customHeight="1">
      <c r="B6" s="26"/>
      <c r="C6" s="39">
        <v>2400</v>
      </c>
      <c r="D6" s="40"/>
      <c r="E6" s="40"/>
    </row>
    <row r="7" ht="20.05" customHeight="1">
      <c r="B7" s="26"/>
      <c r="C7" s="39">
        <v>1400</v>
      </c>
      <c r="D7" s="40"/>
      <c r="E7" s="40"/>
    </row>
    <row r="8" ht="20.05" customHeight="1">
      <c r="B8" s="27">
        <v>2019</v>
      </c>
      <c r="C8" s="39">
        <v>1420</v>
      </c>
      <c r="D8" s="40"/>
      <c r="E8" s="40"/>
    </row>
    <row r="9" ht="20.05" customHeight="1">
      <c r="B9" s="26"/>
      <c r="C9" s="39">
        <v>1490</v>
      </c>
      <c r="D9" s="40"/>
      <c r="E9" s="40"/>
    </row>
    <row r="10" ht="20.05" customHeight="1">
      <c r="B10" s="26"/>
      <c r="C10" s="39">
        <v>1340</v>
      </c>
      <c r="D10" s="40"/>
      <c r="E10" s="40"/>
    </row>
    <row r="11" ht="20.05" customHeight="1">
      <c r="B11" s="26"/>
      <c r="C11" s="39">
        <v>1320</v>
      </c>
      <c r="D11" s="40"/>
      <c r="E11" s="40"/>
    </row>
    <row r="12" ht="20.05" customHeight="1">
      <c r="B12" s="27">
        <v>2020</v>
      </c>
      <c r="C12" s="39">
        <v>1320</v>
      </c>
      <c r="D12" s="40"/>
      <c r="E12" s="40"/>
    </row>
    <row r="13" ht="20.05" customHeight="1">
      <c r="B13" s="26"/>
      <c r="C13" s="39">
        <v>1190</v>
      </c>
      <c r="D13" s="40"/>
      <c r="E13" s="40"/>
    </row>
    <row r="14" ht="20.05" customHeight="1">
      <c r="B14" s="26"/>
      <c r="C14" s="39">
        <v>1570</v>
      </c>
      <c r="D14" s="40"/>
      <c r="E14" s="40"/>
    </row>
    <row r="15" ht="20.05" customHeight="1">
      <c r="B15" s="26"/>
      <c r="C15" s="39">
        <v>2980</v>
      </c>
      <c r="D15" s="40"/>
      <c r="E15" s="40"/>
    </row>
    <row r="16" ht="20.05" customHeight="1">
      <c r="B16" s="27">
        <v>2021</v>
      </c>
      <c r="C16" s="15">
        <v>4880</v>
      </c>
      <c r="D16" s="19"/>
      <c r="E16" s="19"/>
    </row>
    <row r="17" ht="20.05" customHeight="1">
      <c r="B17" s="26"/>
      <c r="C17" s="15">
        <v>5075</v>
      </c>
      <c r="D17" s="19"/>
      <c r="E17" s="19"/>
    </row>
    <row r="18" ht="20.05" customHeight="1">
      <c r="B18" s="26"/>
      <c r="C18" s="15">
        <v>9300</v>
      </c>
      <c r="D18" s="41">
        <v>7990.205443216220</v>
      </c>
      <c r="E18" s="19"/>
    </row>
    <row r="19" ht="20.05" customHeight="1">
      <c r="B19" s="26"/>
      <c r="C19" s="15">
        <v>10325</v>
      </c>
      <c r="D19" s="41">
        <v>7409.804874782930</v>
      </c>
      <c r="E19" s="19"/>
    </row>
    <row r="20" ht="20.05" customHeight="1">
      <c r="B20" s="27">
        <v>2022</v>
      </c>
      <c r="C20" s="15">
        <v>10550</v>
      </c>
      <c r="D20" s="41">
        <f>'Model'!F45</f>
        <v>13417.5649229064</v>
      </c>
      <c r="E20" s="40"/>
    </row>
    <row r="21" ht="20.05" customHeight="1">
      <c r="B21" s="26"/>
      <c r="C21" s="15">
        <v>10350</v>
      </c>
      <c r="D21" s="41">
        <v>19178.3931593515</v>
      </c>
      <c r="E21" s="40"/>
    </row>
    <row r="22" ht="20.05" customHeight="1">
      <c r="B22" s="26"/>
      <c r="C22" s="15"/>
      <c r="D22" s="41">
        <f>'Model'!F45</f>
        <v>13417.5649229064</v>
      </c>
      <c r="E22" s="40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75" style="42" customWidth="1"/>
    <col min="2" max="9" width="10.0469" style="42" customWidth="1"/>
    <col min="10" max="16384" width="16.3516" style="42" customWidth="1"/>
  </cols>
  <sheetData>
    <row r="1" ht="64" customHeight="1"/>
    <row r="2" ht="27.65" customHeight="1">
      <c r="B2" t="s" s="2">
        <v>49</v>
      </c>
      <c r="C2" s="2"/>
      <c r="D2" s="2"/>
      <c r="E2" s="2"/>
      <c r="F2" s="2"/>
      <c r="G2" s="2"/>
      <c r="H2" s="2"/>
      <c r="I2" s="2"/>
    </row>
    <row r="3" ht="20.25" customHeight="1">
      <c r="B3" s="30"/>
      <c r="C3" t="s" s="5">
        <v>11</v>
      </c>
      <c r="D3" t="s" s="5">
        <v>14</v>
      </c>
      <c r="E3" t="s" s="5">
        <v>56</v>
      </c>
      <c r="F3" t="s" s="5">
        <v>11</v>
      </c>
      <c r="G3" t="s" s="5">
        <v>14</v>
      </c>
      <c r="H3" t="s" s="5">
        <v>56</v>
      </c>
      <c r="I3" s="4"/>
    </row>
    <row r="4" ht="20.25" customHeight="1">
      <c r="B4" s="23">
        <v>2007</v>
      </c>
      <c r="C4" s="24">
        <v>3.03854545454545</v>
      </c>
      <c r="D4" s="25">
        <v>0.727272727272727</v>
      </c>
      <c r="E4" s="25">
        <f>C4+D4</f>
        <v>3.76581818181818</v>
      </c>
      <c r="F4" s="25">
        <f>C4</f>
        <v>3.03854545454545</v>
      </c>
      <c r="G4" s="25">
        <f>D4</f>
        <v>0.727272727272727</v>
      </c>
      <c r="H4" s="25">
        <f>E4</f>
        <v>3.76581818181818</v>
      </c>
      <c r="I4" s="8"/>
    </row>
    <row r="5" ht="20.05" customHeight="1">
      <c r="B5" s="27">
        <f>$B4+1</f>
        <v>2008</v>
      </c>
      <c r="C5" s="15">
        <v>33.5551818181818</v>
      </c>
      <c r="D5" s="16">
        <v>-0.9127272727272731</v>
      </c>
      <c r="E5" s="16">
        <f>C5+D5</f>
        <v>32.6424545454545</v>
      </c>
      <c r="F5" s="16">
        <f>C5+F4</f>
        <v>36.5937272727273</v>
      </c>
      <c r="G5" s="16">
        <f>D5+G4</f>
        <v>-0.185454545454546</v>
      </c>
      <c r="H5" s="16">
        <f>E5+H4</f>
        <v>36.4082727272727</v>
      </c>
      <c r="I5" s="19"/>
    </row>
    <row r="6" ht="20.05" customHeight="1">
      <c r="B6" s="27">
        <f>$B5+1</f>
        <v>2009</v>
      </c>
      <c r="C6" s="15">
        <v>-8.000181818181821</v>
      </c>
      <c r="D6" s="16">
        <v>-14.3750909090909</v>
      </c>
      <c r="E6" s="16">
        <f>C6+D6</f>
        <v>-22.3752727272727</v>
      </c>
      <c r="F6" s="16">
        <f>C6+F5</f>
        <v>28.5935454545455</v>
      </c>
      <c r="G6" s="16">
        <f>D6+G5</f>
        <v>-14.5605454545454</v>
      </c>
      <c r="H6" s="16">
        <f>E6+H5</f>
        <v>14.033</v>
      </c>
      <c r="I6" s="19"/>
    </row>
    <row r="7" ht="20.05" customHeight="1">
      <c r="B7" s="27">
        <f>$B6+1</f>
        <v>2010</v>
      </c>
      <c r="C7" s="15">
        <v>-0.971636363636364</v>
      </c>
      <c r="D7" s="16">
        <v>-7.21472727272727</v>
      </c>
      <c r="E7" s="16">
        <f>C7+D7</f>
        <v>-8.18636363636363</v>
      </c>
      <c r="F7" s="16">
        <f>C7+F6</f>
        <v>27.6219090909091</v>
      </c>
      <c r="G7" s="16">
        <f>D7+G6</f>
        <v>-21.7752727272727</v>
      </c>
      <c r="H7" s="16">
        <f>E7+H6</f>
        <v>5.84663636363637</v>
      </c>
      <c r="I7" s="19"/>
    </row>
    <row r="8" ht="20.05" customHeight="1">
      <c r="B8" s="27">
        <f>$B7+1</f>
        <v>2011</v>
      </c>
      <c r="C8" s="15">
        <v>-5</v>
      </c>
      <c r="D8" s="16">
        <f>0.043-76.413-6.269</f>
        <v>-82.639</v>
      </c>
      <c r="E8" s="16">
        <f>C8+D8</f>
        <v>-87.639</v>
      </c>
      <c r="F8" s="16">
        <f>C8+F7</f>
        <v>22.6219090909091</v>
      </c>
      <c r="G8" s="16">
        <f>D8+G7</f>
        <v>-104.414272727273</v>
      </c>
      <c r="H8" s="16">
        <f>E8+H7</f>
        <v>-81.7923636363636</v>
      </c>
      <c r="I8" s="19"/>
    </row>
    <row r="9" ht="20.05" customHeight="1">
      <c r="B9" s="27">
        <f>$B8+1</f>
        <v>2012</v>
      </c>
      <c r="C9" s="15">
        <v>0</v>
      </c>
      <c r="D9" s="16">
        <f>-108.45-7.578+2.236</f>
        <v>-113.792</v>
      </c>
      <c r="E9" s="16">
        <f>C9+D9</f>
        <v>-113.792</v>
      </c>
      <c r="F9" s="16">
        <f>C9+F8</f>
        <v>22.6219090909091</v>
      </c>
      <c r="G9" s="16">
        <f>D9+G8</f>
        <v>-218.206272727273</v>
      </c>
      <c r="H9" s="16">
        <f>E9+H8</f>
        <v>-195.584363636364</v>
      </c>
      <c r="I9" s="19"/>
    </row>
    <row r="10" ht="20.05" customHeight="1">
      <c r="B10" s="27">
        <f>$B9+1</f>
        <v>2013</v>
      </c>
      <c r="C10" s="15">
        <v>0</v>
      </c>
      <c r="D10" s="16">
        <v>-76.608</v>
      </c>
      <c r="E10" s="16">
        <f>C10+D10</f>
        <v>-76.608</v>
      </c>
      <c r="F10" s="16">
        <f>C10+F9</f>
        <v>22.6219090909091</v>
      </c>
      <c r="G10" s="16">
        <f>D10+G9</f>
        <v>-294.814272727273</v>
      </c>
      <c r="H10" s="16">
        <f>E10+H9</f>
        <v>-272.192363636364</v>
      </c>
      <c r="I10" s="19"/>
    </row>
    <row r="11" ht="20.05" customHeight="1">
      <c r="B11" s="27">
        <f>$B10+1</f>
        <v>2014</v>
      </c>
      <c r="C11" s="15">
        <v>0</v>
      </c>
      <c r="D11" s="16">
        <v>-31.583</v>
      </c>
      <c r="E11" s="16">
        <f>C11+D11</f>
        <v>-31.583</v>
      </c>
      <c r="F11" s="16">
        <f>C11+F10</f>
        <v>22.6219090909091</v>
      </c>
      <c r="G11" s="16">
        <f>D11+G10</f>
        <v>-326.397272727273</v>
      </c>
      <c r="H11" s="16">
        <f>E11+H10</f>
        <v>-303.775363636364</v>
      </c>
      <c r="I11" s="19"/>
    </row>
    <row r="12" ht="20.05" customHeight="1">
      <c r="B12" s="27">
        <f>$B11+1</f>
        <v>2015</v>
      </c>
      <c r="C12" s="15">
        <v>0</v>
      </c>
      <c r="D12" s="16">
        <v>-5.059</v>
      </c>
      <c r="E12" s="16">
        <f>C12+D12</f>
        <v>-5.059</v>
      </c>
      <c r="F12" s="16">
        <f>C12+F11</f>
        <v>22.6219090909091</v>
      </c>
      <c r="G12" s="16">
        <f>D12+G11</f>
        <v>-331.456272727273</v>
      </c>
      <c r="H12" s="16">
        <f>E12+H11</f>
        <v>-308.834363636364</v>
      </c>
      <c r="I12" s="19"/>
    </row>
    <row r="13" ht="20.05" customHeight="1">
      <c r="B13" s="27">
        <f>$B12+1</f>
        <v>2016</v>
      </c>
      <c r="C13" s="15">
        <v>0</v>
      </c>
      <c r="D13" s="16">
        <v>-4.931</v>
      </c>
      <c r="E13" s="16">
        <f>C13+D13</f>
        <v>-4.931</v>
      </c>
      <c r="F13" s="16">
        <f>C13+F12</f>
        <v>22.6219090909091</v>
      </c>
      <c r="G13" s="16">
        <f>D13+G12</f>
        <v>-336.387272727273</v>
      </c>
      <c r="H13" s="16">
        <f>E13+H12</f>
        <v>-313.765363636364</v>
      </c>
      <c r="I13" s="19"/>
    </row>
    <row r="14" ht="20.05" customHeight="1">
      <c r="B14" s="27">
        <f>$B13+1</f>
        <v>2017</v>
      </c>
      <c r="C14" s="15">
        <v>0</v>
      </c>
      <c r="D14" s="16">
        <v>-10.651</v>
      </c>
      <c r="E14" s="16">
        <f>C14+D14</f>
        <v>-10.651</v>
      </c>
      <c r="F14" s="16">
        <f>C14+F13</f>
        <v>22.6219090909091</v>
      </c>
      <c r="G14" s="16">
        <f>D14+G13</f>
        <v>-347.038272727273</v>
      </c>
      <c r="H14" s="16">
        <f>E14+H13</f>
        <v>-324.416363636364</v>
      </c>
      <c r="I14" s="19"/>
    </row>
    <row r="15" ht="20.05" customHeight="1">
      <c r="B15" s="27">
        <f>$B14+1</f>
        <v>2018</v>
      </c>
      <c r="C15" s="15">
        <v>-10.413</v>
      </c>
      <c r="D15" s="16">
        <f>-62.559-C15</f>
        <v>-52.146</v>
      </c>
      <c r="E15" s="16">
        <f>C15+D15</f>
        <v>-62.559</v>
      </c>
      <c r="F15" s="16">
        <f>C15+F14</f>
        <v>12.2089090909091</v>
      </c>
      <c r="G15" s="16">
        <f>D15+G14</f>
        <v>-399.184272727273</v>
      </c>
      <c r="H15" s="16">
        <f>E15+H14</f>
        <v>-386.975363636364</v>
      </c>
      <c r="I15" s="19"/>
    </row>
    <row r="16" ht="20.05" customHeight="1">
      <c r="B16" s="27">
        <f>$B15+1</f>
        <v>2019</v>
      </c>
      <c r="C16" s="15">
        <v>0</v>
      </c>
      <c r="D16" s="16">
        <v>-9.089</v>
      </c>
      <c r="E16" s="16">
        <f>C16+D16</f>
        <v>-9.089</v>
      </c>
      <c r="F16" s="16">
        <f>C16+F15</f>
        <v>12.2089090909091</v>
      </c>
      <c r="G16" s="16">
        <f>D16+G15</f>
        <v>-408.273272727273</v>
      </c>
      <c r="H16" s="16">
        <f>E16+H15</f>
        <v>-396.064363636364</v>
      </c>
      <c r="I16" s="28">
        <f>AVERAGE(E4:E18)*14</f>
        <v>-294.512739393939</v>
      </c>
    </row>
    <row r="17" ht="20.05" customHeight="1">
      <c r="B17" s="27">
        <f>$B16+1</f>
        <v>2020</v>
      </c>
      <c r="C17" s="15">
        <v>0</v>
      </c>
      <c r="D17" s="16">
        <f>-4.604+1.219</f>
        <v>-3.385</v>
      </c>
      <c r="E17" s="16">
        <f>C17+D17</f>
        <v>-3.385</v>
      </c>
      <c r="F17" s="16">
        <f>C17+F16</f>
        <v>12.2089090909091</v>
      </c>
      <c r="G17" s="16">
        <f>D17+G16</f>
        <v>-411.658272727273</v>
      </c>
      <c r="H17" s="16">
        <f>E17+H16</f>
        <v>-399.449363636364</v>
      </c>
      <c r="I17" s="28">
        <f>AVERAGE(E14:E18)*14</f>
        <v>-4.9952</v>
      </c>
    </row>
    <row r="18" ht="20.05" customHeight="1">
      <c r="B18" s="27">
        <f>$B17+1</f>
        <v>2021</v>
      </c>
      <c r="C18" s="15">
        <f>SUM('Cashflow '!F24:F27)</f>
        <v>68.8</v>
      </c>
      <c r="D18" s="16">
        <f>SUM('Cashflow '!G24:G27)</f>
        <v>15.1</v>
      </c>
      <c r="E18" s="16">
        <f>C18+D18</f>
        <v>83.90000000000001</v>
      </c>
      <c r="F18" s="16">
        <f>C18+F17</f>
        <v>81.0089090909091</v>
      </c>
      <c r="G18" s="16">
        <f>D18+G17</f>
        <v>-396.558272727273</v>
      </c>
      <c r="H18" s="16">
        <f>E18+H17</f>
        <v>-315.549363636364</v>
      </c>
      <c r="I18" s="28">
        <f>E18*14</f>
        <v>1174.6</v>
      </c>
    </row>
    <row r="19" ht="20.05" customHeight="1">
      <c r="B19" s="27">
        <f>$B18+1</f>
        <v>2022</v>
      </c>
      <c r="C19" s="15">
        <f>'Cashflow '!F28</f>
        <v>2.6</v>
      </c>
      <c r="D19" s="16">
        <f>'Cashflow '!G28</f>
        <v>17.1</v>
      </c>
      <c r="E19" s="16">
        <f>C19+D19</f>
        <v>19.7</v>
      </c>
      <c r="F19" s="16">
        <f>C19+F18</f>
        <v>83.60890909090909</v>
      </c>
      <c r="G19" s="16">
        <f>D19+G18</f>
        <v>-379.458272727273</v>
      </c>
      <c r="H19" s="16">
        <f>E19+H18</f>
        <v>-295.849363636364</v>
      </c>
      <c r="I19" s="19"/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