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<sst xmlns="http://schemas.openxmlformats.org/spreadsheetml/2006/main" uniqueCount="58">
  <si>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</si>
  <si>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</si>
  <si>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2022</t>
  </si>
  <si>
    <t>Cash flow</t>
  </si>
  <si>
    <t>Growth</t>
  </si>
  <si>
    <t>Sales</t>
  </si>
  <si>
    <t>Cost ratio</t>
  </si>
  <si>
    <t>Cash costs</t>
  </si>
  <si>
    <t xml:space="preserve">Operating </t>
  </si>
  <si>
    <t xml:space="preserve">Investment </t>
  </si>
  <si>
    <t xml:space="preserve">Finance </t>
  </si>
  <si>
    <t xml:space="preserve">Liabilities </t>
  </si>
  <si>
    <t>Revolver</t>
  </si>
  <si>
    <t>Equity</t>
  </si>
  <si>
    <t>Before revolver</t>
  </si>
  <si>
    <t>Beginning</t>
  </si>
  <si>
    <t>Change</t>
  </si>
  <si>
    <t>Ending</t>
  </si>
  <si>
    <t xml:space="preserve">Profit 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</si>
  <si>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</si>
  <si>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</si>
  <si>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</si>
  <si>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</si>
  <si>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</si>
  <si>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 xml:space="preserve">Net other assets </t>
  </si>
  <si>
    <t xml:space="preserve">Revolver </t>
  </si>
  <si>
    <t xml:space="preserve">Equity </t>
  </si>
  <si>
    <t>Check</t>
  </si>
  <si>
    <t>Net cash</t>
  </si>
  <si>
    <t xml:space="preserve">Valuation </t>
  </si>
  <si>
    <t xml:space="preserve">Capital </t>
  </si>
  <si>
    <t>Current value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</si>
  <si>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</si>
  <si>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</si>
  <si>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</si>
  <si>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</si>
  <si>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</si>
  <si>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</si>
  <si>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</si>
  <si>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</si>
  <si>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</si>
  <si>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</si>
  <si>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</si>
  <si>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 </t>
  </si>
  <si>
    <t xml:space="preserve">Sales growth </t>
  </si>
  <si>
    <t xml:space="preserve">Cost ratio </t>
  </si>
  <si>
    <t>Cashflow costs</t>
  </si>
  <si>
    <t xml:space="preserve">Receipts </t>
  </si>
  <si>
    <t>Operations</t>
  </si>
  <si>
    <t>Finance</t>
  </si>
  <si>
    <t xml:space="preserve">Free cashflow </t>
  </si>
  <si>
    <t>Cash</t>
  </si>
  <si>
    <t>Assets</t>
  </si>
  <si>
    <t>Other assetd</t>
  </si>
  <si>
    <t xml:space="preserve">Check </t>
  </si>
  <si>
    <t>Share price</t>
  </si>
  <si>
    <t>HEAL</t>
  </si>
  <si>
    <t xml:space="preserve">Previous 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</si>
</sst>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%"/>
    <numFmt numFmtId="60" formatCode="#,##0.0%"/>
    <numFmt numFmtId="61" formatCode="#,##0%_);[Red]\(#,##0%\)"/>
    <numFmt numFmtId="62" formatCode="#,##0;[Red]#,##0"/>
    <numFmt numFmtId="63" formatCode="0;[Red]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1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2" fontId="0" borderId="3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62" fontId="3" borderId="6" applyNumberFormat="1" applyFont="1" applyFill="0" applyBorder="1" applyAlignment="1" applyProtection="0">
      <alignment horizontal="right" vertical="center" wrapText="1" readingOrder="1"/>
    </xf>
    <xf numFmtId="63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476437</xdr:colOff>
      <xdr:row>2</xdr:row>
      <xdr:rowOff>17296</xdr:rowOff>
    </xdr:from>
    <xdr:to>
      <xdr:col>13</xdr:col>
      <xdr:colOff>288064</xdr:colOff>
      <xdr:row>45</xdr:row>
      <xdr:rowOff>184910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05537" y="791361"/>
          <a:ext cx="8523828" cy="11122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35156" style="1" customWidth="1"/>
    <col min="2" max="2" width="15.1172" style="1" customWidth="1"/>
    <col min="3" max="6" width="8.53906" style="1" customWidth="1"/>
    <col min="7" max="16384" width="16.3516" style="1" customWidth="1"/>
  </cols>
  <sheetData>
    <row r="1" ht="33.3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AVERAGE('Sales'!G20:G23)</f>
        <v>-0.0552146856132692</v>
      </c>
      <c r="D4" s="8"/>
      <c r="E4" s="8"/>
      <c r="F4" s="9">
        <f>AVERAGE(C5:F5)</f>
        <v>0.03</v>
      </c>
    </row>
    <row r="5" ht="20.05" customHeight="1">
      <c r="B5" t="s" s="10">
        <v>4</v>
      </c>
      <c r="C5" s="11">
        <v>-0.01</v>
      </c>
      <c r="D5" s="12">
        <v>0.05</v>
      </c>
      <c r="E5" s="12">
        <v>0.04</v>
      </c>
      <c r="F5" s="12">
        <v>0.04</v>
      </c>
    </row>
    <row r="6" ht="20.05" customHeight="1">
      <c r="B6" t="s" s="10">
        <v>5</v>
      </c>
      <c r="C6" s="13">
        <f>'Sales'!C23*(1+C5)</f>
        <v>1181.07</v>
      </c>
      <c r="D6" s="14">
        <f>C6*(1+D5)</f>
        <v>1240.1235</v>
      </c>
      <c r="E6" s="14">
        <f>D6*(1+E5)</f>
        <v>1289.72844</v>
      </c>
      <c r="F6" s="14">
        <f>E6*(1+F5)</f>
        <v>1341.3175776</v>
      </c>
    </row>
    <row r="7" ht="20.05" customHeight="1">
      <c r="B7" t="s" s="10">
        <v>6</v>
      </c>
      <c r="C7" s="15">
        <f>AVERAGE('Sales'!H23)</f>
        <v>-0.661232187761945</v>
      </c>
      <c r="D7" s="16">
        <f>C7</f>
        <v>-0.661232187761945</v>
      </c>
      <c r="E7" s="16">
        <f>D7</f>
        <v>-0.661232187761945</v>
      </c>
      <c r="F7" s="16">
        <f>E7</f>
        <v>-0.661232187761945</v>
      </c>
    </row>
    <row r="8" ht="20.05" customHeight="1">
      <c r="B8" t="s" s="10">
        <v>7</v>
      </c>
      <c r="C8" s="17">
        <f>C7*C6</f>
        <v>-780.9615</v>
      </c>
      <c r="D8" s="18">
        <f>D7*D6</f>
        <v>-820.009575</v>
      </c>
      <c r="E8" s="18">
        <f>E7*E6</f>
        <v>-852.8099580000001</v>
      </c>
      <c r="F8" s="18">
        <f>F7*F6</f>
        <v>-886.9223563199999</v>
      </c>
    </row>
    <row r="9" ht="20.05" customHeight="1">
      <c r="B9" t="s" s="10">
        <v>8</v>
      </c>
      <c r="C9" s="17">
        <f>C6+C8</f>
        <v>400.1085</v>
      </c>
      <c r="D9" s="18">
        <f>D6+D8</f>
        <v>420.113925</v>
      </c>
      <c r="E9" s="18">
        <f>E6+E8</f>
        <v>436.918482</v>
      </c>
      <c r="F9" s="18">
        <f>F6+F8</f>
        <v>454.39522128</v>
      </c>
    </row>
    <row r="10" ht="20.05" customHeight="1">
      <c r="B10" t="s" s="10">
        <v>9</v>
      </c>
      <c r="C10" s="17">
        <f>AVERAGE('Cashflow'!E20:E23)</f>
        <v>-295.375</v>
      </c>
      <c r="D10" s="18">
        <f>C10</f>
        <v>-295.375</v>
      </c>
      <c r="E10" s="18">
        <f>D10</f>
        <v>-295.375</v>
      </c>
      <c r="F10" s="18">
        <f>E10</f>
        <v>-295.375</v>
      </c>
    </row>
    <row r="11" ht="20.05" customHeight="1">
      <c r="B11" t="s" s="10">
        <v>10</v>
      </c>
      <c r="C11" s="17">
        <f>C12+C14+C13</f>
        <v>-104.7335</v>
      </c>
      <c r="D11" s="18">
        <f>D12+D14+D13</f>
        <v>-124.738925</v>
      </c>
      <c r="E11" s="18">
        <f>E12+E14+E13</f>
        <v>-141.543482</v>
      </c>
      <c r="F11" s="18">
        <f>F12+F14+F13</f>
        <v>-159.02022128</v>
      </c>
    </row>
    <row r="12" ht="20.05" customHeight="1">
      <c r="B12" t="s" s="10">
        <v>11</v>
      </c>
      <c r="C12" s="17">
        <f>-('Balance sheet'!F18)/20</f>
        <v>-159.995</v>
      </c>
      <c r="D12" s="18">
        <f>-C26/20</f>
        <v>-151.99525</v>
      </c>
      <c r="E12" s="18">
        <f>-D26/20</f>
        <v>-144.3954875</v>
      </c>
      <c r="F12" s="18">
        <f>-E26/20</f>
        <v>-137.175713125</v>
      </c>
    </row>
    <row r="13" ht="20.05" customHeight="1">
      <c r="B13" t="s" s="10">
        <v>12</v>
      </c>
      <c r="C13" s="17">
        <f>-MIN(0,C15)</f>
        <v>84.39735</v>
      </c>
      <c r="D13" s="18">
        <f>-MIN(C27,D15)</f>
        <v>58.3927175</v>
      </c>
      <c r="E13" s="18">
        <f>-MIN(D27,E15)</f>
        <v>35.6688537</v>
      </c>
      <c r="F13" s="18">
        <f>-MIN(E27,F15)</f>
        <v>12.720013973</v>
      </c>
    </row>
    <row r="14" ht="20.05" customHeight="1">
      <c r="B14" t="s" s="10">
        <v>13</v>
      </c>
      <c r="C14" s="17">
        <f>IF(C21&gt;0,-C21*0.1,0)</f>
        <v>-29.13585</v>
      </c>
      <c r="D14" s="18">
        <f>IF(D21&gt;0,-D21*0.1,0)</f>
        <v>-31.1363925</v>
      </c>
      <c r="E14" s="18">
        <f>IF(E21&gt;0,-E21*0.1,0)</f>
        <v>-32.8168482</v>
      </c>
      <c r="F14" s="18">
        <f>IF(F21&gt;0,-F21*0.1,0)</f>
        <v>-34.564522128</v>
      </c>
    </row>
    <row r="15" ht="20.05" customHeight="1">
      <c r="B15" t="s" s="10">
        <v>14</v>
      </c>
      <c r="C15" s="17">
        <f>C9+C10+C12+C14</f>
        <v>-84.39735</v>
      </c>
      <c r="D15" s="18">
        <f>D9+D10+D12+D14</f>
        <v>-58.3927175</v>
      </c>
      <c r="E15" s="18">
        <f>E9+E10+E12+E14</f>
        <v>-35.6688537</v>
      </c>
      <c r="F15" s="18">
        <f>F9+F10+F12+F14</f>
        <v>-12.720013973</v>
      </c>
    </row>
    <row r="16" ht="20.05" customHeight="1">
      <c r="B16" t="s" s="10">
        <v>15</v>
      </c>
      <c r="C16" s="17">
        <f>SUM('Balance sheet'!B18)</f>
        <v>1286.5</v>
      </c>
      <c r="D16" s="18">
        <f>C18</f>
        <v>1286.5</v>
      </c>
      <c r="E16" s="18">
        <f>D18</f>
        <v>1286.5</v>
      </c>
      <c r="F16" s="18">
        <f>E18</f>
        <v>1286.5</v>
      </c>
    </row>
    <row r="17" ht="20.05" customHeight="1">
      <c r="B17" t="s" s="10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10">
        <v>17</v>
      </c>
      <c r="C18" s="17">
        <f>C16+C17</f>
        <v>1286.5</v>
      </c>
      <c r="D18" s="18">
        <f>D16+D17</f>
        <v>1286.5</v>
      </c>
      <c r="E18" s="18">
        <f>E16+E17</f>
        <v>1286.5</v>
      </c>
      <c r="F18" s="18">
        <f>F16+F17</f>
        <v>1286.5</v>
      </c>
    </row>
    <row r="19" ht="20.05" customHeight="1">
      <c r="B19" t="s" s="19">
        <v>18</v>
      </c>
      <c r="C19" s="20"/>
      <c r="D19" s="21"/>
      <c r="E19" s="21"/>
      <c r="F19" s="22"/>
    </row>
    <row r="20" ht="20.05" customHeight="1">
      <c r="B20" t="s" s="10">
        <v>19</v>
      </c>
      <c r="C20" s="17">
        <f>-AVERAGE('Sales'!E20:E23)</f>
        <v>-108.75</v>
      </c>
      <c r="D20" s="18">
        <f>C20</f>
        <v>-108.75</v>
      </c>
      <c r="E20" s="18">
        <f>D20</f>
        <v>-108.75</v>
      </c>
      <c r="F20" s="18">
        <f>E20</f>
        <v>-108.75</v>
      </c>
    </row>
    <row r="21" ht="20.05" customHeight="1">
      <c r="B21" t="s" s="10">
        <v>20</v>
      </c>
      <c r="C21" s="17">
        <f>C6+C8+C20</f>
        <v>291.3585</v>
      </c>
      <c r="D21" s="18">
        <f>D6+D8+D20</f>
        <v>311.363925</v>
      </c>
      <c r="E21" s="18">
        <f>E6+E8+E20</f>
        <v>328.168482</v>
      </c>
      <c r="F21" s="18">
        <f>F6+F8+F20</f>
        <v>345.64522128</v>
      </c>
    </row>
    <row r="22" ht="20.05" customHeight="1">
      <c r="B22" t="s" s="19">
        <v>21</v>
      </c>
      <c r="C22" s="23"/>
      <c r="D22" s="22"/>
      <c r="E22" s="22"/>
      <c r="F22" s="22"/>
    </row>
    <row r="23" ht="20.05" customHeight="1">
      <c r="B23" t="s" s="10">
        <v>22</v>
      </c>
      <c r="C23" s="17">
        <f>'Balance sheet'!D18+'Balance sheet'!E18-C10</f>
        <v>8333.875</v>
      </c>
      <c r="D23" s="18">
        <f>C23-D10</f>
        <v>8629.25</v>
      </c>
      <c r="E23" s="18">
        <f>D23-E10</f>
        <v>8924.625</v>
      </c>
      <c r="F23" s="18">
        <f>E23-F10</f>
        <v>9220</v>
      </c>
    </row>
    <row r="24" ht="20.05" customHeight="1">
      <c r="B24" t="s" s="10">
        <v>23</v>
      </c>
      <c r="C24" s="17">
        <f>'Balance sheet'!E18-C20</f>
        <v>1847.75</v>
      </c>
      <c r="D24" s="18">
        <f>C24-D20</f>
        <v>1956.5</v>
      </c>
      <c r="E24" s="18">
        <f>D24-E20</f>
        <v>2065.25</v>
      </c>
      <c r="F24" s="18">
        <f>E24-F20</f>
        <v>2174</v>
      </c>
    </row>
    <row r="25" ht="20.05" customHeight="1">
      <c r="B25" t="s" s="10">
        <v>24</v>
      </c>
      <c r="C25" s="17">
        <f>C23-C24</f>
        <v>6486.125</v>
      </c>
      <c r="D25" s="18">
        <f>D23-D24</f>
        <v>6672.75</v>
      </c>
      <c r="E25" s="18">
        <f>E23-E24</f>
        <v>6859.375</v>
      </c>
      <c r="F25" s="18">
        <f>F23-F24</f>
        <v>7046</v>
      </c>
    </row>
    <row r="26" ht="20.05" customHeight="1">
      <c r="B26" t="s" s="10">
        <v>11</v>
      </c>
      <c r="C26" s="17">
        <f>'Balance sheet'!F18+C12</f>
        <v>3039.905</v>
      </c>
      <c r="D26" s="18">
        <f>C26+D12</f>
        <v>2887.90975</v>
      </c>
      <c r="E26" s="18">
        <f>D26+E12</f>
        <v>2743.5142625</v>
      </c>
      <c r="F26" s="18">
        <f>E26+F12</f>
        <v>2606.338549375</v>
      </c>
    </row>
    <row r="27" ht="20.05" customHeight="1">
      <c r="B27" t="s" s="10">
        <v>25</v>
      </c>
      <c r="C27" s="17">
        <f>C13</f>
        <v>84.39735</v>
      </c>
      <c r="D27" s="18">
        <f>C27+D13</f>
        <v>142.7900675</v>
      </c>
      <c r="E27" s="18">
        <f>D27+E13</f>
        <v>178.4589212</v>
      </c>
      <c r="F27" s="18">
        <f>E27+F13</f>
        <v>191.178935173</v>
      </c>
    </row>
    <row r="28" ht="20.05" customHeight="1">
      <c r="B28" t="s" s="10">
        <v>26</v>
      </c>
      <c r="C28" s="17">
        <f>'Balance sheet'!G18+C21+C14</f>
        <v>4648.32265</v>
      </c>
      <c r="D28" s="18">
        <f>C28+D21+D14</f>
        <v>4928.5501825</v>
      </c>
      <c r="E28" s="18">
        <f>D28+E21+E14</f>
        <v>5223.9018163</v>
      </c>
      <c r="F28" s="18">
        <f>E28+F21+F14</f>
        <v>5534.982515452</v>
      </c>
    </row>
    <row r="29" ht="20.05" customHeight="1">
      <c r="B29" t="s" s="10">
        <v>27</v>
      </c>
      <c r="C29" s="17">
        <f>C26+C27+C28-C18-C25</f>
        <v>0</v>
      </c>
      <c r="D29" s="18">
        <f>D26+D27+D28-D18-D25</f>
        <v>0</v>
      </c>
      <c r="E29" s="18">
        <f>E26+E27+E28-E18-E25</f>
        <v>0</v>
      </c>
      <c r="F29" s="18">
        <f>F26+F27+F28-F18-F25</f>
        <v>0</v>
      </c>
    </row>
    <row r="30" ht="20.05" customHeight="1">
      <c r="B30" t="s" s="10">
        <v>28</v>
      </c>
      <c r="C30" s="17">
        <f>C18-C26-C27</f>
        <v>-1837.80235</v>
      </c>
      <c r="D30" s="18">
        <f>D18-D26-D27</f>
        <v>-1744.1998175</v>
      </c>
      <c r="E30" s="18">
        <f>E18-E26-E27</f>
        <v>-1635.4731837</v>
      </c>
      <c r="F30" s="18">
        <f>F18-F26-F27</f>
        <v>-1511.017484548</v>
      </c>
    </row>
    <row r="31" ht="20.05" customHeight="1">
      <c r="B31" t="s" s="19">
        <v>29</v>
      </c>
      <c r="C31" s="17"/>
      <c r="D31" s="18"/>
      <c r="E31" s="18"/>
      <c r="F31" s="18"/>
    </row>
    <row r="32" ht="20.05" customHeight="1">
      <c r="B32" t="s" s="10">
        <v>30</v>
      </c>
      <c r="C32" s="17">
        <f>'Cashflow'!L23-C11</f>
        <v>-1437.9595</v>
      </c>
      <c r="D32" s="18">
        <f>C32-D11</f>
        <v>-1313.220575</v>
      </c>
      <c r="E32" s="18">
        <f>D32-E11</f>
        <v>-1171.677093</v>
      </c>
      <c r="F32" s="18">
        <f>E32-F11</f>
        <v>-1012.65687172</v>
      </c>
    </row>
    <row r="33" ht="20.05" customHeight="1">
      <c r="B33" t="s" s="10">
        <v>31</v>
      </c>
      <c r="C33" s="17"/>
      <c r="D33" s="18"/>
      <c r="E33" s="18"/>
      <c r="F33" s="18">
        <v>19002829834240</v>
      </c>
    </row>
    <row r="34" ht="20.05" customHeight="1">
      <c r="B34" t="s" s="10">
        <v>31</v>
      </c>
      <c r="C34" s="17"/>
      <c r="D34" s="18"/>
      <c r="E34" s="18"/>
      <c r="F34" s="18">
        <f>F33/1000000000</f>
        <v>19002.82983424</v>
      </c>
    </row>
    <row r="35" ht="20.05" customHeight="1">
      <c r="B35" t="s" s="10">
        <v>32</v>
      </c>
      <c r="C35" s="17"/>
      <c r="D35" s="18"/>
      <c r="E35" s="18"/>
      <c r="F35" s="24">
        <f>F34/(F18+F25)</f>
        <v>2.28056763687249</v>
      </c>
    </row>
    <row r="36" ht="20.05" customHeight="1">
      <c r="B36" t="s" s="10">
        <v>33</v>
      </c>
      <c r="C36" s="17"/>
      <c r="D36" s="18"/>
      <c r="E36" s="18"/>
      <c r="F36" s="25">
        <f>-(C14+D14+E14+F14)/F34</f>
        <v>0.00671761068964523</v>
      </c>
    </row>
    <row r="37" ht="20.05" customHeight="1">
      <c r="B37" t="s" s="10">
        <v>34</v>
      </c>
      <c r="C37" s="17"/>
      <c r="D37" s="18"/>
      <c r="E37" s="18"/>
      <c r="F37" s="18">
        <f>SUM(C9:F10)</f>
        <v>530.03612828</v>
      </c>
    </row>
    <row r="38" ht="20.05" customHeight="1">
      <c r="B38" t="s" s="10">
        <v>35</v>
      </c>
      <c r="C38" s="17"/>
      <c r="D38" s="18"/>
      <c r="E38" s="18"/>
      <c r="F38" s="18">
        <f>'Balance sheet'!D18/F37</f>
        <v>11.8850388943151</v>
      </c>
    </row>
    <row r="39" ht="20.05" customHeight="1">
      <c r="B39" t="s" s="10">
        <v>29</v>
      </c>
      <c r="C39" s="17"/>
      <c r="D39" s="18"/>
      <c r="E39" s="18"/>
      <c r="F39" s="18">
        <f>F34/F37</f>
        <v>35.8519520092062</v>
      </c>
    </row>
    <row r="40" ht="20.05" customHeight="1">
      <c r="B40" t="s" s="10">
        <v>36</v>
      </c>
      <c r="C40" s="17"/>
      <c r="D40" s="18"/>
      <c r="E40" s="18"/>
      <c r="F40" s="18">
        <v>32</v>
      </c>
    </row>
    <row r="41" ht="20.05" customHeight="1">
      <c r="B41" t="s" s="10">
        <v>37</v>
      </c>
      <c r="C41" s="17"/>
      <c r="D41" s="18"/>
      <c r="E41" s="18"/>
      <c r="F41" s="18">
        <f>F37*F40</f>
        <v>16961.15610496</v>
      </c>
    </row>
    <row r="42" ht="20.05" customHeight="1">
      <c r="B42" t="s" s="10">
        <v>38</v>
      </c>
      <c r="C42" s="17"/>
      <c r="D42" s="18"/>
      <c r="E42" s="18"/>
      <c r="F42" s="18">
        <f>F34/F44</f>
        <v>14.673999872</v>
      </c>
    </row>
    <row r="43" ht="20.05" customHeight="1">
      <c r="B43" t="s" s="10">
        <v>39</v>
      </c>
      <c r="C43" s="17"/>
      <c r="D43" s="18"/>
      <c r="E43" s="18"/>
      <c r="F43" s="18">
        <f>F41/F42</f>
        <v>1155.8645395196</v>
      </c>
    </row>
    <row r="44" ht="20.05" customHeight="1">
      <c r="B44" t="s" s="10">
        <v>40</v>
      </c>
      <c r="C44" s="17"/>
      <c r="D44" s="18"/>
      <c r="E44" s="18"/>
      <c r="F44" s="18">
        <v>1295</v>
      </c>
    </row>
    <row r="45" ht="20.05" customHeight="1">
      <c r="B45" t="s" s="10">
        <v>41</v>
      </c>
      <c r="C45" s="17"/>
      <c r="D45" s="18"/>
      <c r="E45" s="18"/>
      <c r="F45" s="16">
        <f>F43/F44-1</f>
        <v>-0.107440510023475</v>
      </c>
    </row>
    <row r="46" ht="20.05" customHeight="1">
      <c r="B46" t="s" s="10">
        <v>42</v>
      </c>
      <c r="C46" s="17"/>
      <c r="D46" s="18"/>
      <c r="E46" s="18"/>
      <c r="F46" s="16">
        <f>'Sales'!C23/'Sales'!C19-1</f>
        <v>-0.221884292302785</v>
      </c>
    </row>
    <row r="47" ht="20.05" customHeight="1">
      <c r="B47" t="s" s="10">
        <v>43</v>
      </c>
      <c r="C47" s="17"/>
      <c r="D47" s="18"/>
      <c r="E47" s="18"/>
      <c r="F47" s="16">
        <f>('Sales'!D15+'Sales'!D23+'Sales'!D22+'Sales'!D16+'Sales'!D17+'Sales'!D18+'Sales'!D19+'Sales'!D20+'Sales'!D21)/('Sales'!C15+'Sales'!C16+'Sales'!C17+'Sales'!C18+'Sales'!C19+'Sales'!C20+'Sales'!C22+'Sales'!C23+'Sales'!C21)-1</f>
        <v>-0.0301598773045648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92969" style="26" customWidth="1"/>
    <col min="2" max="2" width="8.07812" style="26" customWidth="1"/>
    <col min="3" max="11" width="9.60938" style="26" customWidth="1"/>
    <col min="12" max="16384" width="16.3516" style="26" customWidth="1"/>
  </cols>
  <sheetData>
    <row r="1" ht="7.1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36</v>
      </c>
      <c r="E3" t="s" s="5">
        <v>23</v>
      </c>
      <c r="F3" t="s" s="5">
        <v>18</v>
      </c>
      <c r="G3" t="s" s="5">
        <v>44</v>
      </c>
      <c r="H3" t="s" s="5">
        <v>45</v>
      </c>
      <c r="I3" t="s" s="5">
        <v>45</v>
      </c>
      <c r="J3" t="s" s="5">
        <v>36</v>
      </c>
      <c r="K3" t="s" s="5">
        <v>46</v>
      </c>
    </row>
    <row r="4" ht="20.25" customHeight="1">
      <c r="B4" s="27">
        <v>2017</v>
      </c>
      <c r="C4" s="28"/>
      <c r="D4" s="8"/>
      <c r="E4" s="29"/>
      <c r="F4" s="29"/>
      <c r="G4" s="9"/>
      <c r="H4" s="9"/>
      <c r="I4" s="9"/>
      <c r="J4" s="30"/>
      <c r="K4" s="30"/>
    </row>
    <row r="5" ht="20.05" customHeight="1">
      <c r="B5" s="31"/>
      <c r="C5" s="13"/>
      <c r="D5" s="22"/>
      <c r="E5" s="14"/>
      <c r="F5" s="14"/>
      <c r="G5" s="12"/>
      <c r="H5" s="12"/>
      <c r="I5" s="12"/>
      <c r="J5" s="16"/>
      <c r="K5" s="16"/>
    </row>
    <row r="6" ht="20.05" customHeight="1">
      <c r="B6" s="31"/>
      <c r="C6" s="13">
        <v>681.9349999999999</v>
      </c>
      <c r="D6" s="22"/>
      <c r="E6" s="14">
        <v>0</v>
      </c>
      <c r="F6" s="14">
        <v>33.788</v>
      </c>
      <c r="G6" s="12"/>
      <c r="H6" s="16">
        <f>(E6+F6-C6)/C6</f>
        <v>-0.95045275576118</v>
      </c>
      <c r="I6" s="16"/>
      <c r="J6" s="16"/>
      <c r="K6" s="16">
        <f>('Cashflow'!D6-'Cashflow'!C6)/'Cashflow'!C6</f>
        <v>-0.882400968588237</v>
      </c>
    </row>
    <row r="7" ht="20.05" customHeight="1">
      <c r="B7" s="31"/>
      <c r="C7" s="13">
        <v>714.468</v>
      </c>
      <c r="D7" s="22"/>
      <c r="E7" s="14">
        <v>99.764</v>
      </c>
      <c r="F7" s="14">
        <v>50.78</v>
      </c>
      <c r="G7" s="12">
        <f>C7/C6-1</f>
        <v>0.0477068928856856</v>
      </c>
      <c r="H7" s="16">
        <f>(E7+F7-C7)/C7</f>
        <v>-0.789292172637543</v>
      </c>
      <c r="I7" s="16"/>
      <c r="J7" s="16"/>
      <c r="K7" s="16">
        <f>('Cashflow'!D7-'Cashflow'!C7)/'Cashflow'!C7</f>
        <v>-0.764507176090899</v>
      </c>
    </row>
    <row r="8" ht="20.05" customHeight="1">
      <c r="B8" s="32">
        <v>2018</v>
      </c>
      <c r="C8" s="13">
        <v>746.126</v>
      </c>
      <c r="D8" s="22"/>
      <c r="E8" s="14">
        <v>40.232</v>
      </c>
      <c r="F8" s="14">
        <v>50.703</v>
      </c>
      <c r="G8" s="12">
        <f>C8/C7-1</f>
        <v>0.0443098921155321</v>
      </c>
      <c r="H8" s="16">
        <f>(E8+F8-C8)/C8</f>
        <v>-0.878123802146018</v>
      </c>
      <c r="I8" s="16">
        <f>AVERAGE(H5:H8)</f>
        <v>-0.87262291018158</v>
      </c>
      <c r="J8" s="16"/>
      <c r="K8" s="16">
        <f>('Cashflow'!D8-'Cashflow'!C8)/'Cashflow'!C8</f>
        <v>-0.921513586518613</v>
      </c>
    </row>
    <row r="9" ht="20.05" customHeight="1">
      <c r="B9" s="31"/>
      <c r="C9" s="13">
        <v>769.284</v>
      </c>
      <c r="D9" s="22"/>
      <c r="E9" s="14">
        <v>52.727</v>
      </c>
      <c r="F9" s="14">
        <v>48.595</v>
      </c>
      <c r="G9" s="12">
        <f>C9/C8-1</f>
        <v>0.0310376531577776</v>
      </c>
      <c r="H9" s="16">
        <f>(E9+F9-C9)/C9</f>
        <v>-0.868290514296411</v>
      </c>
      <c r="I9" s="16">
        <f>AVERAGE(H6:H9)</f>
        <v>-0.871539811210288</v>
      </c>
      <c r="J9" s="16"/>
      <c r="K9" s="16">
        <f>('Cashflow'!D9-'Cashflow'!C9)/'Cashflow'!C9</f>
        <v>-0.800524773836239</v>
      </c>
    </row>
    <row r="10" ht="20.05" customHeight="1">
      <c r="B10" s="31"/>
      <c r="C10" s="13">
        <v>772.85</v>
      </c>
      <c r="D10" s="22"/>
      <c r="E10" s="14">
        <v>0</v>
      </c>
      <c r="F10" s="14">
        <v>62.656</v>
      </c>
      <c r="G10" s="12">
        <f>C10/C9-1</f>
        <v>0.00463547922483764</v>
      </c>
      <c r="H10" s="16">
        <f>(E10+F10-C10)/C10</f>
        <v>-0.918928640745293</v>
      </c>
      <c r="I10" s="16">
        <f>AVERAGE(H7:H10)</f>
        <v>-0.863658782456316</v>
      </c>
      <c r="J10" s="16"/>
      <c r="K10" s="16">
        <f>('Cashflow'!D10-'Cashflow'!C10)/'Cashflow'!C10</f>
        <v>-0.996646303453435</v>
      </c>
    </row>
    <row r="11" ht="20.05" customHeight="1">
      <c r="B11" s="31"/>
      <c r="C11" s="13">
        <v>769.831</v>
      </c>
      <c r="D11" s="22"/>
      <c r="E11" s="14">
        <v>110.365</v>
      </c>
      <c r="F11" s="14">
        <v>29.07</v>
      </c>
      <c r="G11" s="12">
        <f>C11/C10-1</f>
        <v>-0.00390632076082034</v>
      </c>
      <c r="H11" s="16">
        <f>(E11+F11-C11)/C11</f>
        <v>-0.818875831188923</v>
      </c>
      <c r="I11" s="16">
        <f>AVERAGE(H8:H11)</f>
        <v>-0.8710546970941609</v>
      </c>
      <c r="J11" s="16"/>
      <c r="K11" s="16">
        <f>('Cashflow'!D11-'Cashflow'!C11)/'Cashflow'!C11</f>
        <v>-0.947885569060409</v>
      </c>
    </row>
    <row r="12" ht="20.05" customHeight="1">
      <c r="B12" s="32">
        <v>2019</v>
      </c>
      <c r="C12" s="13">
        <v>901.539</v>
      </c>
      <c r="D12" s="22"/>
      <c r="E12" s="14">
        <v>50.765</v>
      </c>
      <c r="F12" s="14">
        <v>74.40000000000001</v>
      </c>
      <c r="G12" s="12">
        <f>C12/C11-1</f>
        <v>0.171086900891235</v>
      </c>
      <c r="H12" s="16">
        <f>(E12+F12-C12)/C12</f>
        <v>-0.861165185310896</v>
      </c>
      <c r="I12" s="16">
        <f>AVERAGE(H9:H12)</f>
        <v>-0.866815042885381</v>
      </c>
      <c r="J12" s="16"/>
      <c r="K12" s="16">
        <f>('Cashflow'!D12-'Cashflow'!C12)/'Cashflow'!C12</f>
        <v>-0.88550708064356</v>
      </c>
    </row>
    <row r="13" ht="20.05" customHeight="1">
      <c r="B13" s="31"/>
      <c r="C13" s="13">
        <v>886.599</v>
      </c>
      <c r="D13" s="22"/>
      <c r="E13" s="14">
        <v>53.072</v>
      </c>
      <c r="F13" s="14">
        <v>88.185</v>
      </c>
      <c r="G13" s="12">
        <f>C13/C12-1</f>
        <v>-0.0165716624571982</v>
      </c>
      <c r="H13" s="16">
        <f>(E13+F13-C13)/C13</f>
        <v>-0.840675435005002</v>
      </c>
      <c r="I13" s="16">
        <f>AVERAGE(H10:H13)</f>
        <v>-0.859911273062529</v>
      </c>
      <c r="J13" s="16"/>
      <c r="K13" s="16">
        <f>('Cashflow'!D13-'Cashflow'!C13)/'Cashflow'!C13</f>
        <v>-0.874338858392593</v>
      </c>
    </row>
    <row r="14" ht="20.05" customHeight="1">
      <c r="B14" s="31"/>
      <c r="C14" s="13">
        <v>899.862</v>
      </c>
      <c r="D14" s="22"/>
      <c r="E14" s="14">
        <v>55.163</v>
      </c>
      <c r="F14" s="14">
        <v>101.415</v>
      </c>
      <c r="G14" s="12">
        <f>C14/C13-1</f>
        <v>0.0149594123160527</v>
      </c>
      <c r="H14" s="16">
        <f>(E14+F14-C14)/C14</f>
        <v>-0.825997764101607</v>
      </c>
      <c r="I14" s="16">
        <f>AVERAGE(H11:H14)</f>
        <v>-0.8366785539016069</v>
      </c>
      <c r="J14" s="16"/>
      <c r="K14" s="16">
        <f>('Cashflow'!D14-'Cashflow'!C14)/'Cashflow'!C14</f>
        <v>-0.972884144739571</v>
      </c>
    </row>
    <row r="15" ht="20.05" customHeight="1">
      <c r="B15" s="31"/>
      <c r="C15" s="13">
        <v>942.9</v>
      </c>
      <c r="D15" s="14">
        <v>900.70227</v>
      </c>
      <c r="E15" s="14">
        <v>67.90000000000001</v>
      </c>
      <c r="F15" s="14">
        <v>79.90000000000001</v>
      </c>
      <c r="G15" s="12">
        <f>C15/C14-1</f>
        <v>0.0478273335244738</v>
      </c>
      <c r="H15" s="16">
        <f>(E15+F15-C15)/C15</f>
        <v>-0.843249549262912</v>
      </c>
      <c r="I15" s="16">
        <f>AVERAGE(H12:H15)</f>
        <v>-0.842771983420104</v>
      </c>
      <c r="J15" s="16"/>
      <c r="K15" s="16">
        <f>('Cashflow'!D15-'Cashflow'!C15)/'Cashflow'!C15</f>
        <v>-0.6444606870627551</v>
      </c>
    </row>
    <row r="16" ht="20.05" customHeight="1">
      <c r="B16" s="32">
        <v>2020</v>
      </c>
      <c r="C16" s="13">
        <v>983.8</v>
      </c>
      <c r="D16" s="14">
        <v>1018.73907</v>
      </c>
      <c r="E16" s="14">
        <v>59.905</v>
      </c>
      <c r="F16" s="14">
        <v>99.3</v>
      </c>
      <c r="G16" s="12">
        <f>C16/C15-1</f>
        <v>0.043376816205324</v>
      </c>
      <c r="H16" s="16">
        <f>(E16+F16-C16)/C16</f>
        <v>-0.838173409229518</v>
      </c>
      <c r="I16" s="16">
        <f>AVERAGE(H13:H16)</f>
        <v>-0.83702403939976</v>
      </c>
      <c r="J16" s="16"/>
      <c r="K16" s="16">
        <f>('Cashflow'!D16-'Cashflow'!C16)/'Cashflow'!C16</f>
        <v>-0.682391853076856</v>
      </c>
    </row>
    <row r="17" ht="20.05" customHeight="1">
      <c r="B17" s="31"/>
      <c r="C17" s="13">
        <v>748.361</v>
      </c>
      <c r="D17" s="14">
        <v>930.92895</v>
      </c>
      <c r="E17" s="14">
        <v>64.61499999999999</v>
      </c>
      <c r="F17" s="14">
        <v>34.953</v>
      </c>
      <c r="G17" s="12">
        <f>C17/C16-1</f>
        <v>-0.239315917869486</v>
      </c>
      <c r="H17" s="16">
        <f>(E17+F17-C17)/C17</f>
        <v>-0.866951912245561</v>
      </c>
      <c r="I17" s="16">
        <f>AVERAGE(H14:H17)</f>
        <v>-0.8435931587099</v>
      </c>
      <c r="J17" s="16"/>
      <c r="K17" s="16">
        <f>('Cashflow'!D17-'Cashflow'!C17)/'Cashflow'!C17</f>
        <v>-0.93647828117702</v>
      </c>
    </row>
    <row r="18" ht="20.05" customHeight="1">
      <c r="B18" s="31"/>
      <c r="C18" s="13">
        <v>1150.648</v>
      </c>
      <c r="D18" s="14">
        <v>808.22988</v>
      </c>
      <c r="E18" s="14">
        <f>196.292-SUM(E16:E17)</f>
        <v>71.77200000000001</v>
      </c>
      <c r="F18" s="14">
        <v>214.773</v>
      </c>
      <c r="G18" s="12">
        <f>C18/C17-1</f>
        <v>0.537557408790677</v>
      </c>
      <c r="H18" s="16">
        <f>(E18+F18-C18)/C18</f>
        <v>-0.750970757347164</v>
      </c>
      <c r="I18" s="16">
        <f>AVERAGE(H15:H18)</f>
        <v>-0.824836407021289</v>
      </c>
      <c r="J18" s="16"/>
      <c r="K18" s="16">
        <f>('Cashflow'!D18-'Cashflow'!C18)/'Cashflow'!C18</f>
        <v>-0.52924351513956</v>
      </c>
    </row>
    <row r="19" ht="20.05" customHeight="1">
      <c r="B19" s="31"/>
      <c r="C19" s="13">
        <f>4416-SUM(C16:C18)</f>
        <v>1533.191</v>
      </c>
      <c r="D19" s="14">
        <v>1185.16744</v>
      </c>
      <c r="E19" s="14">
        <f>294.9-SUM(E16:E18)</f>
        <v>98.608</v>
      </c>
      <c r="F19" s="14">
        <f>645.6-SUM(F16:F18)</f>
        <v>296.574</v>
      </c>
      <c r="G19" s="12">
        <f>C19/C18-1</f>
        <v>0.332458753676189</v>
      </c>
      <c r="H19" s="16">
        <f>(E19+F19-C19)/C19</f>
        <v>-0.742248682649455</v>
      </c>
      <c r="I19" s="16">
        <f>AVERAGE(H16:H19)</f>
        <v>-0.799586190367925</v>
      </c>
      <c r="J19" s="16"/>
      <c r="K19" s="16">
        <f>('Cashflow'!D19-'Cashflow'!C19)/'Cashflow'!C19</f>
        <v>-0.808831600831601</v>
      </c>
    </row>
    <row r="20" ht="20.05" customHeight="1">
      <c r="B20" s="32">
        <v>2021</v>
      </c>
      <c r="C20" s="13">
        <v>1584.878</v>
      </c>
      <c r="D20" s="14">
        <v>1232.5741376</v>
      </c>
      <c r="E20" s="33">
        <v>108.75</v>
      </c>
      <c r="F20" s="33">
        <v>366.53</v>
      </c>
      <c r="G20" s="12">
        <f>C20/C19-1</f>
        <v>0.0337120424004576</v>
      </c>
      <c r="H20" s="16">
        <f>(E20+F20-C20)/C20</f>
        <v>-0.700115718686233</v>
      </c>
      <c r="I20" s="16">
        <f>AVERAGE(H17:H20)</f>
        <v>-0.7650717677321029</v>
      </c>
      <c r="J20" s="16"/>
      <c r="K20" s="16">
        <f>('Cashflow'!D20-'Cashflow'!C20)/'Cashflow'!C20</f>
        <v>-0.984664278296882</v>
      </c>
    </row>
    <row r="21" ht="20.05" customHeight="1">
      <c r="B21" s="31"/>
      <c r="C21" s="13">
        <f>3098.2-C20</f>
        <v>1513.322</v>
      </c>
      <c r="D21" s="14">
        <v>1616.57556</v>
      </c>
      <c r="E21" s="14">
        <v>108.75</v>
      </c>
      <c r="F21" s="14">
        <f>714.7-F20</f>
        <v>348.17</v>
      </c>
      <c r="G21" s="12">
        <f>C21/C20-1</f>
        <v>-0.0451492165327552</v>
      </c>
      <c r="H21" s="16">
        <f>(E21+F21-C21)/C21</f>
        <v>-0.698068223418413</v>
      </c>
      <c r="I21" s="16">
        <f>AVERAGE(H18:H21)</f>
        <v>-0.722850845525316</v>
      </c>
      <c r="J21" s="16"/>
      <c r="K21" s="16">
        <f>('Cashflow'!D21-'Cashflow'!C21)/'Cashflow'!C21</f>
        <v>-0.837301213155912</v>
      </c>
    </row>
    <row r="22" ht="20.05" customHeight="1">
      <c r="B22" s="31"/>
      <c r="C22" s="13">
        <f>4627-SUM(C20:C21)</f>
        <v>1528.8</v>
      </c>
      <c r="D22" s="14">
        <v>1543.58844</v>
      </c>
      <c r="E22" s="14">
        <v>108.75</v>
      </c>
      <c r="F22" s="14">
        <f>1004.4-SUM(F20:F21)</f>
        <v>289.7</v>
      </c>
      <c r="G22" s="12">
        <f>C22/C21-1</f>
        <v>0.0102278299000477</v>
      </c>
      <c r="H22" s="16">
        <f>(E22+F22-C22)/C22</f>
        <v>-0.73937074829932</v>
      </c>
      <c r="I22" s="16">
        <f>AVERAGE(H19:H22)</f>
        <v>-0.719950843263355</v>
      </c>
      <c r="J22" s="16"/>
      <c r="K22" s="16">
        <f>('Cashflow'!D22-'Cashflow'!C22)/'Cashflow'!C22</f>
        <v>-0.890763251467791</v>
      </c>
    </row>
    <row r="23" ht="20.05" customHeight="1">
      <c r="B23" s="31"/>
      <c r="C23" s="13">
        <f>5820-C22-C21-C20</f>
        <v>1193</v>
      </c>
      <c r="D23" s="14">
        <v>1605.24</v>
      </c>
      <c r="E23" s="14">
        <v>108.75</v>
      </c>
      <c r="F23" s="14">
        <f>1299.8-F22-F21-F20</f>
        <v>295.4</v>
      </c>
      <c r="G23" s="12">
        <f>C23/C22-1</f>
        <v>-0.219649398220827</v>
      </c>
      <c r="H23" s="16">
        <f>(E23+F23-C23)/C23</f>
        <v>-0.661232187761945</v>
      </c>
      <c r="I23" s="16">
        <f>AVERAGE(H20:H23)</f>
        <v>-0.6996967195414781</v>
      </c>
      <c r="J23" s="16">
        <f>I23</f>
        <v>-0.6996967195414781</v>
      </c>
      <c r="K23" s="16">
        <f>('Cashflow'!D23-'Cashflow'!C23)/'Cashflow'!C23</f>
        <v>-0.397074777996544</v>
      </c>
    </row>
    <row r="24" ht="20.05" customHeight="1">
      <c r="B24" s="32">
        <v>2022</v>
      </c>
      <c r="C24" s="13"/>
      <c r="D24" s="14">
        <f>'Model'!C6</f>
        <v>1181.07</v>
      </c>
      <c r="E24" s="14"/>
      <c r="F24" s="14"/>
      <c r="G24" s="12"/>
      <c r="H24" s="12"/>
      <c r="I24" s="16"/>
      <c r="J24" s="16">
        <f>'Model'!C7</f>
        <v>-0.661232187761945</v>
      </c>
      <c r="K24" s="22"/>
    </row>
    <row r="25" ht="20.05" customHeight="1">
      <c r="B25" s="31"/>
      <c r="C25" s="13"/>
      <c r="D25" s="14">
        <f>'Model'!D6</f>
        <v>1240.1235</v>
      </c>
      <c r="E25" s="14"/>
      <c r="F25" s="34"/>
      <c r="G25" s="12"/>
      <c r="H25" s="12"/>
      <c r="I25" s="16"/>
      <c r="J25" s="16"/>
      <c r="K25" s="16"/>
    </row>
    <row r="26" ht="20.05" customHeight="1">
      <c r="B26" s="31"/>
      <c r="C26" s="13"/>
      <c r="D26" s="14">
        <f>'Model'!E6</f>
        <v>1289.72844</v>
      </c>
      <c r="E26" s="14"/>
      <c r="F26" s="34"/>
      <c r="G26" s="12"/>
      <c r="H26" s="12"/>
      <c r="I26" s="16"/>
      <c r="J26" s="16"/>
      <c r="K26" s="16"/>
    </row>
    <row r="27" ht="20.05" customHeight="1">
      <c r="B27" s="31"/>
      <c r="C27" s="13"/>
      <c r="D27" s="14">
        <f>'Model'!F6</f>
        <v>1341.3175776</v>
      </c>
      <c r="E27" s="14"/>
      <c r="F27" s="34"/>
      <c r="G27" s="12"/>
      <c r="H27" s="12"/>
      <c r="I27" s="16"/>
      <c r="J27" s="16"/>
      <c r="K27" s="16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2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0938" style="35" customWidth="1"/>
    <col min="2" max="2" width="7.57031" style="35" customWidth="1"/>
    <col min="3" max="14" width="8.82031" style="35" customWidth="1"/>
    <col min="15" max="16384" width="16.3516" style="35" customWidth="1"/>
  </cols>
  <sheetData>
    <row r="1" ht="22.95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47</v>
      </c>
      <c r="D3" t="s" s="5">
        <v>48</v>
      </c>
      <c r="E3" t="s" s="5">
        <v>9</v>
      </c>
      <c r="F3" t="s" s="5">
        <v>11</v>
      </c>
      <c r="G3" t="s" s="5">
        <v>26</v>
      </c>
      <c r="H3" t="s" s="5">
        <v>49</v>
      </c>
      <c r="I3" t="s" s="5">
        <v>50</v>
      </c>
      <c r="J3" t="s" s="5">
        <v>34</v>
      </c>
      <c r="K3" t="s" s="5">
        <v>36</v>
      </c>
      <c r="L3" t="s" s="5">
        <v>30</v>
      </c>
      <c r="M3" t="s" s="5">
        <v>36</v>
      </c>
      <c r="N3" s="36"/>
    </row>
    <row r="4" ht="20.25" customHeight="1">
      <c r="B4" s="27">
        <v>2017</v>
      </c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ht="20.05" customHeight="1">
      <c r="B5" s="31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ht="20.05" customHeight="1">
      <c r="B6" s="31"/>
      <c r="C6" s="17">
        <v>608.721</v>
      </c>
      <c r="D6" s="18">
        <v>71.58499999999999</v>
      </c>
      <c r="E6" s="18">
        <v>-433.343</v>
      </c>
      <c r="F6" s="18"/>
      <c r="G6" s="18"/>
      <c r="H6" s="18">
        <v>522.066</v>
      </c>
      <c r="I6" s="18">
        <f>D6+E6</f>
        <v>-361.758</v>
      </c>
      <c r="J6" s="18"/>
      <c r="K6" s="18"/>
      <c r="L6" s="18">
        <f>-H6</f>
        <v>-522.066</v>
      </c>
      <c r="M6" s="18"/>
      <c r="N6" s="18">
        <v>1</v>
      </c>
    </row>
    <row r="7" ht="20.05" customHeight="1">
      <c r="B7" s="31"/>
      <c r="C7" s="17">
        <v>690.348</v>
      </c>
      <c r="D7" s="18">
        <v>162.572</v>
      </c>
      <c r="E7" s="18">
        <v>-379.802</v>
      </c>
      <c r="F7" s="18"/>
      <c r="G7" s="18"/>
      <c r="H7" s="18">
        <v>149.376</v>
      </c>
      <c r="I7" s="18">
        <f>D7+E7</f>
        <v>-217.23</v>
      </c>
      <c r="J7" s="18"/>
      <c r="K7" s="18"/>
      <c r="L7" s="18">
        <f>-H7+L6</f>
        <v>-671.442</v>
      </c>
      <c r="M7" s="18"/>
      <c r="N7" s="18">
        <f>1+N6</f>
        <v>2</v>
      </c>
    </row>
    <row r="8" ht="20.05" customHeight="1">
      <c r="B8" s="32">
        <v>2018</v>
      </c>
      <c r="C8" s="17">
        <v>651.5650000000001</v>
      </c>
      <c r="D8" s="18">
        <v>51.139</v>
      </c>
      <c r="E8" s="18">
        <v>-274.242</v>
      </c>
      <c r="F8" s="18"/>
      <c r="G8" s="18"/>
      <c r="H8" s="18">
        <v>152.215</v>
      </c>
      <c r="I8" s="18">
        <f>D8+E8</f>
        <v>-223.103</v>
      </c>
      <c r="J8" s="18">
        <f>AVERAGE(I5:I8)</f>
        <v>-267.363666666667</v>
      </c>
      <c r="K8" s="18"/>
      <c r="L8" s="18">
        <f>-H8+L7</f>
        <v>-823.657</v>
      </c>
      <c r="M8" s="18"/>
      <c r="N8" s="18">
        <f>1+N7</f>
        <v>3</v>
      </c>
    </row>
    <row r="9" ht="20.05" customHeight="1">
      <c r="B9" s="31"/>
      <c r="C9" s="17">
        <v>784.7190000000001</v>
      </c>
      <c r="D9" s="18">
        <v>156.532</v>
      </c>
      <c r="E9" s="18">
        <v>-180.282</v>
      </c>
      <c r="F9" s="18"/>
      <c r="G9" s="18"/>
      <c r="H9" s="18">
        <v>294.072</v>
      </c>
      <c r="I9" s="18">
        <f>D9+E9</f>
        <v>-23.75</v>
      </c>
      <c r="J9" s="18">
        <f>AVERAGE(I6:I9)</f>
        <v>-206.46025</v>
      </c>
      <c r="K9" s="18"/>
      <c r="L9" s="18">
        <f>-H9+L8</f>
        <v>-1117.729</v>
      </c>
      <c r="M9" s="18"/>
      <c r="N9" s="18">
        <f>1+N8</f>
        <v>4</v>
      </c>
    </row>
    <row r="10" ht="20.05" customHeight="1">
      <c r="B10" s="31"/>
      <c r="C10" s="17">
        <v>721.89</v>
      </c>
      <c r="D10" s="18">
        <v>2.421</v>
      </c>
      <c r="E10" s="18">
        <v>-191.346</v>
      </c>
      <c r="F10" s="18"/>
      <c r="G10" s="18"/>
      <c r="H10" s="18">
        <v>14.024</v>
      </c>
      <c r="I10" s="18">
        <f>D10+E10</f>
        <v>-188.925</v>
      </c>
      <c r="J10" s="18">
        <f>AVERAGE(I7:I10)</f>
        <v>-163.252</v>
      </c>
      <c r="K10" s="18"/>
      <c r="L10" s="18">
        <f>-H10+L9</f>
        <v>-1131.753</v>
      </c>
      <c r="M10" s="18"/>
      <c r="N10" s="18">
        <f>1+N9</f>
        <v>5</v>
      </c>
    </row>
    <row r="11" ht="20.05" customHeight="1">
      <c r="B11" s="31"/>
      <c r="C11" s="17">
        <v>605.955</v>
      </c>
      <c r="D11" s="18">
        <v>31.579</v>
      </c>
      <c r="E11" s="18">
        <v>-235.078</v>
      </c>
      <c r="F11" s="18"/>
      <c r="G11" s="18"/>
      <c r="H11" s="18">
        <v>160.34</v>
      </c>
      <c r="I11" s="18">
        <f>D11+E11</f>
        <v>-203.499</v>
      </c>
      <c r="J11" s="18">
        <f>AVERAGE(I8:I11)</f>
        <v>-159.81925</v>
      </c>
      <c r="K11" s="18"/>
      <c r="L11" s="18">
        <f>-H11+L10</f>
        <v>-1292.093</v>
      </c>
      <c r="M11" s="18"/>
      <c r="N11" s="18">
        <f>1+N10</f>
        <v>6</v>
      </c>
    </row>
    <row r="12" ht="20.05" customHeight="1">
      <c r="B12" s="32">
        <v>2019</v>
      </c>
      <c r="C12" s="17">
        <v>795.761</v>
      </c>
      <c r="D12" s="18">
        <v>91.10899999999999</v>
      </c>
      <c r="E12" s="18">
        <v>-60.542</v>
      </c>
      <c r="F12" s="18"/>
      <c r="G12" s="18"/>
      <c r="H12" s="18">
        <v>-47.781</v>
      </c>
      <c r="I12" s="18">
        <f>D12+E12</f>
        <v>30.567</v>
      </c>
      <c r="J12" s="18">
        <f>AVERAGE(I9:I12)</f>
        <v>-96.40175000000001</v>
      </c>
      <c r="K12" s="18"/>
      <c r="L12" s="18">
        <f>-H12+L11</f>
        <v>-1244.312</v>
      </c>
      <c r="M12" s="18"/>
      <c r="N12" s="18">
        <f>1+N11</f>
        <v>7</v>
      </c>
    </row>
    <row r="13" ht="20.05" customHeight="1">
      <c r="B13" s="31"/>
      <c r="C13" s="17">
        <v>989.009</v>
      </c>
      <c r="D13" s="18">
        <v>124.28</v>
      </c>
      <c r="E13" s="18">
        <v>-144.591</v>
      </c>
      <c r="F13" s="18"/>
      <c r="G13" s="18"/>
      <c r="H13" s="18">
        <v>224.462</v>
      </c>
      <c r="I13" s="18">
        <f>D13+E13</f>
        <v>-20.311</v>
      </c>
      <c r="J13" s="18">
        <f>AVERAGE(I10:I13)</f>
        <v>-95.542</v>
      </c>
      <c r="K13" s="18"/>
      <c r="L13" s="18">
        <f>-H13+L12</f>
        <v>-1468.774</v>
      </c>
      <c r="M13" s="18"/>
      <c r="N13" s="18">
        <f>1+N12</f>
        <v>8</v>
      </c>
    </row>
    <row r="14" ht="20.05" customHeight="1">
      <c r="B14" s="31"/>
      <c r="C14" s="17">
        <v>723.23</v>
      </c>
      <c r="D14" s="18">
        <v>19.611</v>
      </c>
      <c r="E14" s="18">
        <v>-162.867</v>
      </c>
      <c r="F14" s="18"/>
      <c r="G14" s="18"/>
      <c r="H14" s="18">
        <v>85.319</v>
      </c>
      <c r="I14" s="18">
        <f>D14+E14</f>
        <v>-143.256</v>
      </c>
      <c r="J14" s="18">
        <f>AVERAGE(I11:I14)</f>
        <v>-84.12475000000001</v>
      </c>
      <c r="K14" s="18"/>
      <c r="L14" s="18">
        <f>-H14+L13</f>
        <v>-1554.093</v>
      </c>
      <c r="M14" s="18"/>
      <c r="N14" s="18">
        <f>1+N13</f>
        <v>9</v>
      </c>
    </row>
    <row r="15" ht="20.05" customHeight="1">
      <c r="B15" s="31"/>
      <c r="C15" s="17">
        <v>957.7</v>
      </c>
      <c r="D15" s="18">
        <v>340.5</v>
      </c>
      <c r="E15" s="18">
        <v>-237.6</v>
      </c>
      <c r="F15" s="18"/>
      <c r="G15" s="18"/>
      <c r="H15" s="18">
        <v>60.5</v>
      </c>
      <c r="I15" s="18">
        <f>D15+E15</f>
        <v>102.9</v>
      </c>
      <c r="J15" s="18">
        <f>AVERAGE(I12:I15)</f>
        <v>-7.525</v>
      </c>
      <c r="K15" s="18"/>
      <c r="L15" s="18">
        <f>-H15+L14</f>
        <v>-1614.593</v>
      </c>
      <c r="M15" s="18"/>
      <c r="N15" s="18">
        <f>1+N14</f>
        <v>10</v>
      </c>
    </row>
    <row r="16" ht="20.05" customHeight="1">
      <c r="B16" s="32">
        <v>2020</v>
      </c>
      <c r="C16" s="17">
        <v>1148.9</v>
      </c>
      <c r="D16" s="18">
        <v>364.9</v>
      </c>
      <c r="E16" s="18">
        <v>-156.8</v>
      </c>
      <c r="F16" s="18"/>
      <c r="G16" s="22"/>
      <c r="H16" s="18">
        <v>-55.6</v>
      </c>
      <c r="I16" s="18">
        <f>D16+E16</f>
        <v>208.1</v>
      </c>
      <c r="J16" s="18">
        <f>AVERAGE(I13:I16)</f>
        <v>36.85825</v>
      </c>
      <c r="K16" s="18"/>
      <c r="L16" s="18">
        <f>-H16+L15</f>
        <v>-1558.993</v>
      </c>
      <c r="M16" s="18"/>
      <c r="N16" s="18">
        <f>1+N15</f>
        <v>11</v>
      </c>
    </row>
    <row r="17" ht="20.05" customHeight="1">
      <c r="B17" s="31"/>
      <c r="C17" s="17">
        <v>856.4</v>
      </c>
      <c r="D17" s="18">
        <v>54.4</v>
      </c>
      <c r="E17" s="18">
        <v>-185.1</v>
      </c>
      <c r="F17" s="18"/>
      <c r="G17" s="18"/>
      <c r="H17" s="18">
        <v>-23.6</v>
      </c>
      <c r="I17" s="18">
        <f>D17+E17</f>
        <v>-130.7</v>
      </c>
      <c r="J17" s="18">
        <f>AVERAGE(I14:I17)</f>
        <v>9.260999999999999</v>
      </c>
      <c r="K17" s="18"/>
      <c r="L17" s="18">
        <f>-H17+L16</f>
        <v>-1535.393</v>
      </c>
      <c r="M17" s="18"/>
      <c r="N17" s="18">
        <f>1+N16</f>
        <v>12</v>
      </c>
    </row>
    <row r="18" ht="20.05" customHeight="1">
      <c r="B18" s="31"/>
      <c r="C18" s="17">
        <v>1013.9</v>
      </c>
      <c r="D18" s="18">
        <v>477.3</v>
      </c>
      <c r="E18" s="18">
        <v>-360.6</v>
      </c>
      <c r="F18" s="18"/>
      <c r="G18" s="18"/>
      <c r="H18" s="18">
        <v>335.4</v>
      </c>
      <c r="I18" s="18">
        <f>D18+E18</f>
        <v>116.7</v>
      </c>
      <c r="J18" s="18">
        <f>AVERAGE(I15:I18)</f>
        <v>74.25</v>
      </c>
      <c r="K18" s="18"/>
      <c r="L18" s="18">
        <f>-H18+L17</f>
        <v>-1870.793</v>
      </c>
      <c r="M18" s="18"/>
      <c r="N18" s="18">
        <f>1+N17</f>
        <v>13</v>
      </c>
    </row>
    <row r="19" ht="20.05" customHeight="1">
      <c r="B19" s="31"/>
      <c r="C19" s="17">
        <f>4221.7-SUM(C16:C18)</f>
        <v>1202.5</v>
      </c>
      <c r="D19" s="18">
        <f>1126.48-SUM(D16:D18)</f>
        <v>229.88</v>
      </c>
      <c r="E19" s="18">
        <f>-1036.17-SUM(E16:E18)</f>
        <v>-333.67</v>
      </c>
      <c r="F19" s="18"/>
      <c r="G19" s="18"/>
      <c r="H19" s="18">
        <f>181-SUM(H16:H18)</f>
        <v>-75.2</v>
      </c>
      <c r="I19" s="18">
        <f>D19+E19</f>
        <v>-103.79</v>
      </c>
      <c r="J19" s="18">
        <f>AVERAGE(I16:I19)</f>
        <v>22.5775</v>
      </c>
      <c r="K19" s="18"/>
      <c r="L19" s="18">
        <f>-H19+L18</f>
        <v>-1795.593</v>
      </c>
      <c r="M19" s="18"/>
      <c r="N19" s="18">
        <f>1+N18</f>
        <v>14</v>
      </c>
    </row>
    <row r="20" ht="20.05" customHeight="1">
      <c r="B20" s="32">
        <v>2021</v>
      </c>
      <c r="C20" s="17">
        <v>971.653</v>
      </c>
      <c r="D20" s="18">
        <v>14.901</v>
      </c>
      <c r="E20" s="18">
        <v>-256.374</v>
      </c>
      <c r="F20" s="18">
        <f>-25.828-G20</f>
        <v>18.927</v>
      </c>
      <c r="G20" s="18">
        <f>-28.281-16.474</f>
        <v>-44.755</v>
      </c>
      <c r="H20" s="18">
        <v>-25.828</v>
      </c>
      <c r="I20" s="18">
        <f>D20+E20</f>
        <v>-241.473</v>
      </c>
      <c r="J20" s="18">
        <f>AVERAGE(I17:I20)</f>
        <v>-89.81574999999999</v>
      </c>
      <c r="K20" s="18"/>
      <c r="L20" s="18">
        <f>-H20+L19</f>
        <v>-1769.765</v>
      </c>
      <c r="M20" s="18"/>
      <c r="N20" s="18">
        <f>1+N19</f>
        <v>15</v>
      </c>
    </row>
    <row r="21" ht="20.05" customHeight="1">
      <c r="B21" s="31"/>
      <c r="C21" s="17">
        <f>2255-C20</f>
        <v>1283.347</v>
      </c>
      <c r="D21" s="18">
        <f>223.7-D20</f>
        <v>208.799</v>
      </c>
      <c r="E21" s="18">
        <f>-431.5-E20</f>
        <v>-175.126</v>
      </c>
      <c r="F21" s="18">
        <f>-83.973-F20-G21-G20</f>
        <v>40.939</v>
      </c>
      <c r="G21" s="18">
        <f>-106.068-G20-37.771</f>
        <v>-99.084</v>
      </c>
      <c r="H21" s="18">
        <f>-84-H20</f>
        <v>-58.172</v>
      </c>
      <c r="I21" s="18">
        <f>D21+E21</f>
        <v>33.673</v>
      </c>
      <c r="J21" s="18">
        <f>AVERAGE(I18:I21)</f>
        <v>-48.7225</v>
      </c>
      <c r="K21" s="18"/>
      <c r="L21" s="18">
        <f>-H21+L20</f>
        <v>-1711.593</v>
      </c>
      <c r="M21" s="18"/>
      <c r="N21" s="18">
        <f>1+N20</f>
        <v>16</v>
      </c>
    </row>
    <row r="22" ht="20.05" customHeight="1">
      <c r="B22" s="31"/>
      <c r="C22" s="17">
        <f>3464.3-SUM(C20:C21)</f>
        <v>1209.3</v>
      </c>
      <c r="D22" s="18">
        <f>355.8-SUM(D20:D21)</f>
        <v>132.1</v>
      </c>
      <c r="E22" s="18">
        <f>-692.3-SUM(E20:E21)</f>
        <v>-260.8</v>
      </c>
      <c r="F22" s="18">
        <f>-166.154-F21-F20-G22-G21-G20</f>
        <v>-62.144</v>
      </c>
      <c r="G22" s="18">
        <f>-113.949-49.927-G21-G20</f>
        <v>-20.037</v>
      </c>
      <c r="H22" s="18">
        <f>-166.1-SUM(H20:H21)</f>
        <v>-82.09999999999999</v>
      </c>
      <c r="I22" s="18">
        <f>D22+E22</f>
        <v>-128.7</v>
      </c>
      <c r="J22" s="18">
        <f>AVERAGE(I19:I22)</f>
        <v>-110.0725</v>
      </c>
      <c r="K22" s="18"/>
      <c r="L22" s="18">
        <f>-H22+L21</f>
        <v>-1629.493</v>
      </c>
      <c r="M22" s="18"/>
      <c r="N22" s="18">
        <f>1+N21</f>
        <v>17</v>
      </c>
    </row>
    <row r="23" ht="20.05" customHeight="1">
      <c r="B23" s="31"/>
      <c r="C23" s="17">
        <f>5953-C22-C21-C20</f>
        <v>2488.7</v>
      </c>
      <c r="D23" s="18">
        <f>1856.3-D22-D21-D20</f>
        <v>1500.5</v>
      </c>
      <c r="E23" s="18">
        <f>-1181.5-E22-E21-E20</f>
        <v>-489.2</v>
      </c>
      <c r="F23" s="18">
        <f>322-216-F22-F21-F20</f>
        <v>108.278</v>
      </c>
      <c r="G23" s="18">
        <f>-229-74-50-G22-G21-G20</f>
        <v>-189.124</v>
      </c>
      <c r="H23" s="18">
        <f>-252.9-H22-H21-H20</f>
        <v>-86.8</v>
      </c>
      <c r="I23" s="18">
        <f>D23+E23</f>
        <v>1011.3</v>
      </c>
      <c r="J23" s="18">
        <f>AVERAGE(I20:I23)</f>
        <v>168.7</v>
      </c>
      <c r="K23" s="18">
        <f>J23</f>
        <v>168.7</v>
      </c>
      <c r="L23" s="18">
        <f>-H23+L22</f>
        <v>-1542.693</v>
      </c>
      <c r="M23" s="18">
        <f>L23</f>
        <v>-1542.693</v>
      </c>
      <c r="N23" s="18">
        <f>1+N22</f>
        <v>18</v>
      </c>
    </row>
    <row r="24" ht="20.05" customHeight="1">
      <c r="B24" s="32">
        <v>2022</v>
      </c>
      <c r="C24" s="17"/>
      <c r="D24" s="18"/>
      <c r="E24" s="18"/>
      <c r="F24" s="18"/>
      <c r="G24" s="18"/>
      <c r="H24" s="18"/>
      <c r="I24" s="18"/>
      <c r="J24" s="22"/>
      <c r="K24" s="18">
        <f>SUM('Model'!F9:F10)</f>
        <v>159.02022128</v>
      </c>
      <c r="L24" s="22"/>
      <c r="M24" s="18">
        <f>'Model'!F32</f>
        <v>-1012.65687172</v>
      </c>
      <c r="N24" s="18"/>
    </row>
  </sheetData>
  <mergeCells count="1">
    <mergeCell ref="B2:N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1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6.38281" style="39" customWidth="1"/>
    <col min="2" max="10" width="9.26562" style="39" customWidth="1"/>
    <col min="11" max="16384" width="16.3516" style="39" customWidth="1"/>
  </cols>
  <sheetData>
    <row r="1" ht="27.65" customHeight="1">
      <c r="A1" t="s" s="2">
        <v>21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5">
        <v>1</v>
      </c>
      <c r="B2" t="s" s="5">
        <v>51</v>
      </c>
      <c r="C2" t="s" s="5">
        <v>52</v>
      </c>
      <c r="D2" t="s" s="5">
        <v>53</v>
      </c>
      <c r="E2" t="s" s="5">
        <v>23</v>
      </c>
      <c r="F2" t="s" s="5">
        <v>11</v>
      </c>
      <c r="G2" t="s" s="5">
        <v>26</v>
      </c>
      <c r="H2" t="s" s="5">
        <v>54</v>
      </c>
      <c r="I2" t="s" s="5">
        <v>28</v>
      </c>
      <c r="J2" t="s" s="5">
        <v>36</v>
      </c>
    </row>
    <row r="3" ht="20.25" customHeight="1">
      <c r="A3" s="27">
        <v>2018</v>
      </c>
      <c r="B3" s="40"/>
      <c r="C3" s="38"/>
      <c r="D3" s="38">
        <f>C3-B3</f>
        <v>0</v>
      </c>
      <c r="E3" s="38"/>
      <c r="F3" s="38"/>
      <c r="G3" s="38"/>
      <c r="H3" s="38"/>
      <c r="I3" s="38"/>
      <c r="J3" s="38"/>
    </row>
    <row r="4" ht="20.05" customHeight="1">
      <c r="A4" s="31"/>
      <c r="B4" s="17">
        <v>521.861</v>
      </c>
      <c r="C4" s="18">
        <v>3890.272</v>
      </c>
      <c r="D4" s="18">
        <f>C4-B4</f>
        <v>3368.411</v>
      </c>
      <c r="E4" s="18"/>
      <c r="F4" s="18">
        <v>1540.004</v>
      </c>
      <c r="G4" s="18">
        <v>2350.268</v>
      </c>
      <c r="H4" s="18">
        <f>F4+G4-B4-D4</f>
        <v>0</v>
      </c>
      <c r="I4" s="18">
        <f>B4-F4</f>
        <v>-1018.143</v>
      </c>
      <c r="J4" s="18"/>
    </row>
    <row r="5" ht="20.05" customHeight="1">
      <c r="A5" s="31"/>
      <c r="B5" s="17">
        <v>346.958</v>
      </c>
      <c r="C5" s="18">
        <v>3950.157</v>
      </c>
      <c r="D5" s="18">
        <f>C5-B5</f>
        <v>3603.199</v>
      </c>
      <c r="E5" s="18"/>
      <c r="F5" s="18">
        <v>1566.493</v>
      </c>
      <c r="G5" s="18">
        <v>2383.664</v>
      </c>
      <c r="H5" s="18">
        <f>F5+G5-B5-D5</f>
        <v>0</v>
      </c>
      <c r="I5" s="18">
        <f>B5-F5</f>
        <v>-1219.535</v>
      </c>
      <c r="J5" s="18"/>
    </row>
    <row r="6" ht="20.05" customHeight="1">
      <c r="A6" s="31"/>
      <c r="B6" s="17">
        <v>303.801</v>
      </c>
      <c r="C6" s="18">
        <v>4171.207</v>
      </c>
      <c r="D6" s="18">
        <f>C6-B6</f>
        <v>3867.406</v>
      </c>
      <c r="E6" s="18"/>
      <c r="F6" s="18">
        <v>1801.498</v>
      </c>
      <c r="G6" s="18">
        <v>2369.709</v>
      </c>
      <c r="H6" s="18">
        <f>F6+G6-B6-D6</f>
        <v>0</v>
      </c>
      <c r="I6" s="18">
        <f>B6-F6</f>
        <v>-1497.697</v>
      </c>
      <c r="J6" s="18"/>
    </row>
    <row r="7" ht="20.05" customHeight="1">
      <c r="A7" s="32">
        <v>2019</v>
      </c>
      <c r="B7" s="17">
        <v>286.584</v>
      </c>
      <c r="C7" s="18">
        <v>4315.86</v>
      </c>
      <c r="D7" s="18">
        <f>C7-B7</f>
        <v>4029.276</v>
      </c>
      <c r="E7" s="18"/>
      <c r="F7" s="18">
        <v>1809.632</v>
      </c>
      <c r="G7" s="18">
        <v>2506.228</v>
      </c>
      <c r="H7" s="18">
        <f>F7+G7-B7-D7</f>
        <v>0</v>
      </c>
      <c r="I7" s="18">
        <f>B7-F7</f>
        <v>-1523.048</v>
      </c>
      <c r="J7" s="18"/>
    </row>
    <row r="8" ht="20.05" customHeight="1">
      <c r="A8" s="31"/>
      <c r="B8" s="17">
        <v>490.738</v>
      </c>
      <c r="C8" s="18">
        <v>4532.217</v>
      </c>
      <c r="D8" s="18">
        <f>C8-B8</f>
        <v>4041.479</v>
      </c>
      <c r="E8" s="18"/>
      <c r="F8" s="18">
        <v>1970.608</v>
      </c>
      <c r="G8" s="18">
        <v>2561.609</v>
      </c>
      <c r="H8" s="18">
        <f>F8+G8-B8-D8</f>
        <v>0</v>
      </c>
      <c r="I8" s="18">
        <f>B8-F8</f>
        <v>-1479.87</v>
      </c>
      <c r="J8" s="18"/>
    </row>
    <row r="9" ht="20.05" customHeight="1">
      <c r="A9" s="31"/>
      <c r="B9" s="17">
        <v>433</v>
      </c>
      <c r="C9" s="18">
        <v>4779</v>
      </c>
      <c r="D9" s="18">
        <f>C9-B9</f>
        <v>4346</v>
      </c>
      <c r="E9" s="18"/>
      <c r="F9" s="18">
        <v>2127</v>
      </c>
      <c r="G9" s="18">
        <v>2652</v>
      </c>
      <c r="H9" s="18">
        <f>F9+G9-B9-D9</f>
        <v>0</v>
      </c>
      <c r="I9" s="18">
        <f>B9-F9</f>
        <v>-1694</v>
      </c>
      <c r="J9" s="18"/>
    </row>
    <row r="10" ht="20.05" customHeight="1">
      <c r="A10" s="31"/>
      <c r="B10" s="17">
        <v>593.3</v>
      </c>
      <c r="C10" s="18">
        <v>5047.8</v>
      </c>
      <c r="D10" s="18">
        <f>C10-B10</f>
        <v>4454.5</v>
      </c>
      <c r="E10" s="18"/>
      <c r="F10" s="18">
        <v>2283.3</v>
      </c>
      <c r="G10" s="18">
        <v>2764.4</v>
      </c>
      <c r="H10" s="18">
        <f>F10+G10-B10-D10</f>
        <v>-0.1</v>
      </c>
      <c r="I10" s="18">
        <f>B10-F10</f>
        <v>-1690</v>
      </c>
      <c r="J10" s="18"/>
    </row>
    <row r="11" ht="20.05" customHeight="1">
      <c r="A11" s="32">
        <v>2020</v>
      </c>
      <c r="B11" s="17">
        <v>745.7</v>
      </c>
      <c r="C11" s="18">
        <v>5212</v>
      </c>
      <c r="D11" s="18">
        <f>C11-B11</f>
        <v>4466.3</v>
      </c>
      <c r="E11" s="18"/>
      <c r="F11" s="18">
        <v>2331.9</v>
      </c>
      <c r="G11" s="18">
        <v>2879.8</v>
      </c>
      <c r="H11" s="18">
        <f>F11+G11-B11-D11</f>
        <v>-0.3</v>
      </c>
      <c r="I11" s="18">
        <f>B11-F11</f>
        <v>-1586.2</v>
      </c>
      <c r="J11" s="18"/>
    </row>
    <row r="12" ht="20.05" customHeight="1">
      <c r="A12" s="31"/>
      <c r="B12" s="17">
        <v>591</v>
      </c>
      <c r="C12" s="18">
        <v>5040</v>
      </c>
      <c r="D12" s="18">
        <f>C12-B12</f>
        <v>4449</v>
      </c>
      <c r="E12" s="18"/>
      <c r="F12" s="18">
        <v>2147</v>
      </c>
      <c r="G12" s="18">
        <v>2893</v>
      </c>
      <c r="H12" s="18">
        <f>F12+G12-B12-D12</f>
        <v>0</v>
      </c>
      <c r="I12" s="18">
        <f>B12-F12</f>
        <v>-1556</v>
      </c>
      <c r="J12" s="18"/>
    </row>
    <row r="13" ht="20.05" customHeight="1">
      <c r="A13" s="31"/>
      <c r="B13" s="17">
        <v>1043</v>
      </c>
      <c r="C13" s="18">
        <v>5813</v>
      </c>
      <c r="D13" s="18">
        <f>C13-B13</f>
        <v>4770</v>
      </c>
      <c r="E13" s="18"/>
      <c r="F13" s="18">
        <v>2702</v>
      </c>
      <c r="G13" s="18">
        <v>3111</v>
      </c>
      <c r="H13" s="18">
        <f>F13+G13-B13-D13</f>
        <v>0</v>
      </c>
      <c r="I13" s="18">
        <f>B13-F13</f>
        <v>-1659</v>
      </c>
      <c r="J13" s="18"/>
    </row>
    <row r="14" ht="20.05" customHeight="1">
      <c r="A14" s="31"/>
      <c r="B14" s="17">
        <v>864.5700000000001</v>
      </c>
      <c r="C14" s="18">
        <v>6355.2</v>
      </c>
      <c r="D14" s="18">
        <f>C14-B14</f>
        <v>5490.63</v>
      </c>
      <c r="E14" s="18"/>
      <c r="F14" s="18">
        <v>2973.05</v>
      </c>
      <c r="G14" s="18">
        <v>3382.17</v>
      </c>
      <c r="H14" s="18">
        <f>F14+G14-B14-D14</f>
        <v>0.02</v>
      </c>
      <c r="I14" s="18">
        <f>B14-F14</f>
        <v>-2108.48</v>
      </c>
      <c r="J14" s="18"/>
    </row>
    <row r="15" ht="20.05" customHeight="1">
      <c r="A15" s="32">
        <v>2021</v>
      </c>
      <c r="B15" s="17">
        <v>597.27</v>
      </c>
      <c r="C15" s="18">
        <v>6848.553</v>
      </c>
      <c r="D15" s="18">
        <f>C15-B15</f>
        <v>6251.283</v>
      </c>
      <c r="E15" s="18">
        <f>1542</f>
        <v>1542</v>
      </c>
      <c r="F15" s="18">
        <v>3154.026</v>
      </c>
      <c r="G15" s="18">
        <v>3694.527</v>
      </c>
      <c r="H15" s="18">
        <f>F15+G15-B15-D15</f>
        <v>0</v>
      </c>
      <c r="I15" s="18">
        <f>B15-F15</f>
        <v>-2556.756</v>
      </c>
      <c r="J15" s="18"/>
    </row>
    <row r="16" ht="20.05" customHeight="1">
      <c r="A16" s="31"/>
      <c r="B16" s="17">
        <v>573</v>
      </c>
      <c r="C16" s="18">
        <v>7173</v>
      </c>
      <c r="D16" s="18">
        <f>C16-B16</f>
        <v>6600</v>
      </c>
      <c r="E16" s="18">
        <f>1633</f>
        <v>1633</v>
      </c>
      <c r="F16" s="18">
        <v>3271</v>
      </c>
      <c r="G16" s="18">
        <v>3902</v>
      </c>
      <c r="H16" s="18">
        <f>F16+G16-B16-D16</f>
        <v>0</v>
      </c>
      <c r="I16" s="18">
        <f>B16-F16</f>
        <v>-2698</v>
      </c>
      <c r="J16" s="18"/>
    </row>
    <row r="17" ht="20.05" customHeight="1">
      <c r="A17" s="31"/>
      <c r="B17" s="17">
        <v>362</v>
      </c>
      <c r="C17" s="18">
        <v>7491</v>
      </c>
      <c r="D17" s="18">
        <f>C17-B17</f>
        <v>7129</v>
      </c>
      <c r="E17" s="18">
        <f>1739</f>
        <v>1739</v>
      </c>
      <c r="F17" s="18">
        <v>3322</v>
      </c>
      <c r="G17" s="18">
        <v>4169</v>
      </c>
      <c r="H17" s="18">
        <f>F17+G17-B17-D17</f>
        <v>0</v>
      </c>
      <c r="I17" s="18">
        <f>B17-F17</f>
        <v>-2960</v>
      </c>
      <c r="J17" s="18"/>
    </row>
    <row r="18" ht="20.05" customHeight="1">
      <c r="A18" s="31"/>
      <c r="B18" s="17">
        <f>B17+'Cashflow'!D23+'Cashflow'!E23+'Cashflow'!H23</f>
        <v>1286.5</v>
      </c>
      <c r="C18" s="18">
        <v>7586</v>
      </c>
      <c r="D18" s="18">
        <f>C18-B18</f>
        <v>6299.5</v>
      </c>
      <c r="E18" s="18">
        <f>E17</f>
        <v>1739</v>
      </c>
      <c r="F18" s="18">
        <v>3199.9</v>
      </c>
      <c r="G18" s="18">
        <f>C18-F18</f>
        <v>4386.1</v>
      </c>
      <c r="H18" s="18">
        <f>F18+G18-B18-D18</f>
        <v>0</v>
      </c>
      <c r="I18" s="18">
        <f>B18-F18</f>
        <v>-1913.4</v>
      </c>
      <c r="J18" s="18">
        <f>I18</f>
        <v>-1913.4</v>
      </c>
    </row>
    <row r="19" ht="20.05" customHeight="1">
      <c r="A19" s="32">
        <v>2022</v>
      </c>
      <c r="B19" s="17"/>
      <c r="C19" s="18"/>
      <c r="D19" s="18"/>
      <c r="E19" s="18"/>
      <c r="F19" s="18"/>
      <c r="G19" s="18"/>
      <c r="H19" s="18"/>
      <c r="I19" s="18"/>
      <c r="J19" s="18">
        <f>'Model'!F30</f>
        <v>-1511.017484548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8125" style="41" customWidth="1"/>
    <col min="2" max="2" width="7.23438" style="41" customWidth="1"/>
    <col min="3" max="5" width="9.11719" style="41" customWidth="1"/>
    <col min="6" max="16384" width="16.3516" style="41" customWidth="1"/>
  </cols>
  <sheetData>
    <row r="1" ht="46.9" customHeight="1"/>
    <row r="2" ht="27.65" customHeight="1">
      <c r="B2" t="s" s="2">
        <v>55</v>
      </c>
      <c r="C2" s="2"/>
      <c r="D2" s="2"/>
      <c r="E2" s="2"/>
    </row>
    <row r="3" ht="20.25" customHeight="1">
      <c r="B3" s="4"/>
      <c r="C3" t="s" s="3">
        <v>56</v>
      </c>
      <c r="D3" t="s" s="3">
        <v>39</v>
      </c>
      <c r="E3" t="s" s="3">
        <v>57</v>
      </c>
    </row>
    <row r="4" ht="20.25" customHeight="1">
      <c r="B4" s="27">
        <v>2018</v>
      </c>
      <c r="C4" s="42"/>
      <c r="D4" s="43"/>
      <c r="E4" s="43"/>
    </row>
    <row r="5" ht="20.05" customHeight="1">
      <c r="B5" s="31"/>
      <c r="C5" s="44">
        <v>706</v>
      </c>
      <c r="D5" s="45"/>
      <c r="E5" s="45"/>
    </row>
    <row r="6" ht="20.05" customHeight="1">
      <c r="B6" s="31"/>
      <c r="C6" s="44">
        <v>658</v>
      </c>
      <c r="D6" s="45"/>
      <c r="E6" s="45"/>
    </row>
    <row r="7" ht="20.05" customHeight="1">
      <c r="B7" s="31"/>
      <c r="C7" s="44">
        <v>512</v>
      </c>
      <c r="D7" s="45"/>
      <c r="E7" s="45"/>
    </row>
    <row r="8" ht="20.05" customHeight="1">
      <c r="B8" s="32">
        <v>2019</v>
      </c>
      <c r="C8" s="44">
        <v>678</v>
      </c>
      <c r="D8" s="45"/>
      <c r="E8" s="45"/>
    </row>
    <row r="9" ht="20.05" customHeight="1">
      <c r="B9" s="31"/>
      <c r="C9" s="46">
        <v>660</v>
      </c>
      <c r="D9" s="47"/>
      <c r="E9" s="47"/>
    </row>
    <row r="10" ht="20.05" customHeight="1">
      <c r="B10" s="31"/>
      <c r="C10" s="46">
        <v>698</v>
      </c>
      <c r="D10" s="47"/>
      <c r="E10" s="47"/>
    </row>
    <row r="11" ht="20.05" customHeight="1">
      <c r="B11" s="31"/>
      <c r="C11" s="46">
        <v>716</v>
      </c>
      <c r="D11" s="47"/>
      <c r="E11" s="47"/>
    </row>
    <row r="12" ht="20.05" customHeight="1">
      <c r="B12" s="32">
        <v>2020</v>
      </c>
      <c r="C12" s="46">
        <v>434</v>
      </c>
      <c r="D12" s="22"/>
      <c r="E12" s="22"/>
    </row>
    <row r="13" ht="20.05" customHeight="1">
      <c r="B13" s="31"/>
      <c r="C13" s="46">
        <v>610</v>
      </c>
      <c r="D13" s="22"/>
      <c r="E13" s="22"/>
    </row>
    <row r="14" ht="20.05" customHeight="1">
      <c r="B14" s="31"/>
      <c r="C14" s="46">
        <v>660</v>
      </c>
      <c r="D14" s="22"/>
      <c r="E14" s="22"/>
    </row>
    <row r="15" ht="20.05" customHeight="1">
      <c r="B15" s="31"/>
      <c r="C15" s="46">
        <v>706</v>
      </c>
      <c r="D15" s="22"/>
      <c r="E15" s="22"/>
    </row>
    <row r="16" ht="20.05" customHeight="1">
      <c r="B16" s="32">
        <v>2021</v>
      </c>
      <c r="C16" s="17">
        <v>895</v>
      </c>
      <c r="D16" s="22"/>
      <c r="E16" s="22"/>
    </row>
    <row r="17" ht="20.05" customHeight="1">
      <c r="B17" s="31"/>
      <c r="C17" s="17">
        <v>1120</v>
      </c>
      <c r="D17" s="22"/>
      <c r="E17" s="22"/>
    </row>
    <row r="18" ht="20.05" customHeight="1">
      <c r="B18" s="31"/>
      <c r="C18" s="17">
        <v>1170</v>
      </c>
      <c r="D18" s="18"/>
      <c r="E18" s="18"/>
    </row>
    <row r="19" ht="20.05" customHeight="1">
      <c r="B19" s="31"/>
      <c r="C19" s="17">
        <v>1085</v>
      </c>
      <c r="D19" s="22"/>
      <c r="E19" s="22"/>
    </row>
    <row r="20" ht="20.05" customHeight="1">
      <c r="B20" s="32">
        <v>2022</v>
      </c>
      <c r="C20" s="17">
        <v>1215</v>
      </c>
      <c r="D20" s="22"/>
      <c r="E20" s="22"/>
    </row>
    <row r="21" ht="20.05" customHeight="1">
      <c r="B21" s="31"/>
      <c r="C21" s="17">
        <v>1295</v>
      </c>
      <c r="D21" s="18">
        <f>C21</f>
        <v>1295</v>
      </c>
      <c r="E21" s="18">
        <v>712</v>
      </c>
    </row>
    <row r="22" ht="20.05" customHeight="1">
      <c r="B22" s="31"/>
      <c r="C22" s="17"/>
      <c r="D22" s="18">
        <f>'Model'!F43</f>
        <v>1155.8645395196</v>
      </c>
      <c r="E22" s="18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