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 " sheetId="4" r:id="rId7"/>
    <sheet name="Share price " sheetId="5" r:id="rId8"/>
  </sheets>
</workbook>
</file>

<file path=xl/sharedStrings.xml><?xml version="1.0" encoding="utf-8"?>
<sst xmlns="http://schemas.openxmlformats.org/spreadsheetml/2006/main" uniqueCount="55">
  <si>
    <t>Financial model</t>
  </si>
  <si>
    <t>$m</t>
  </si>
  <si>
    <t>4Q 2022</t>
  </si>
  <si>
    <t>Cashflow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</si>
  <si>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</si>
  <si>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</si>
  <si>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</si>
  <si>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</si>
  <si>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</si>
  <si>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 xml:space="preserve">Investment 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</si>
  <si>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</si>
  <si>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</si>
  <si>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</si>
  <si>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</si>
  <si>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</si>
  <si>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Finance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</si>
  <si>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</si>
  <si>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</si>
  <si>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</si>
  <si>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</si>
  <si>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</si>
  <si>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 xml:space="preserve">Balance sheet </t>
  </si>
  <si>
    <t xml:space="preserve">Other assets </t>
  </si>
  <si>
    <t xml:space="preserve">Depreciation </t>
  </si>
  <si>
    <t xml:space="preserve">Net other assets 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</si>
  <si>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</si>
  <si>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</si>
  <si>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</si>
  <si>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</si>
  <si>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</si>
  <si>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</si>
  <si>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</si>
  <si>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Cashflow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</si>
  <si>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</si>
  <si>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</si>
  <si>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</si>
  <si>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</si>
  <si>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</si>
  <si>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</si>
  <si>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</si>
  <si>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</si>
  <si>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</si>
  <si>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Cost ratio</t>
  </si>
  <si>
    <t xml:space="preserve">Net income </t>
  </si>
  <si>
    <t>Non cash costs</t>
  </si>
  <si>
    <t xml:space="preserve">Working capital </t>
  </si>
  <si>
    <t xml:space="preserve">Free cashflow </t>
  </si>
  <si>
    <t>Balance sheet</t>
  </si>
  <si>
    <t>Cash</t>
  </si>
  <si>
    <t>Assets</t>
  </si>
  <si>
    <t>Liabilities</t>
  </si>
  <si>
    <t>Equity</t>
  </si>
  <si>
    <t>Share price</t>
  </si>
  <si>
    <t>$</t>
  </si>
  <si>
    <t>HAL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</si>
</sst>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3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473694</xdr:colOff>
      <xdr:row>1</xdr:row>
      <xdr:rowOff>174019</xdr:rowOff>
    </xdr:from>
    <xdr:to>
      <xdr:col>12</xdr:col>
      <xdr:colOff>1133662</xdr:colOff>
      <xdr:row>48</xdr:row>
      <xdr:rowOff>14499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20294" y="525174"/>
          <a:ext cx="9372169" cy="11811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5" width="10.8125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t="s" s="5">
        <v>2</v>
      </c>
      <c r="E2" s="4"/>
    </row>
    <row r="3" ht="20.25" customHeight="1">
      <c r="A3" t="s" s="6">
        <v>3</v>
      </c>
      <c r="B3" s="7">
        <f>AVERAGE('Sales'!D12:D15)</f>
        <v>0.0562806031957989</v>
      </c>
      <c r="C3" s="8"/>
      <c r="D3" s="8"/>
      <c r="E3" s="9">
        <f>AVERAGE(B4:E4)</f>
        <v>0.0475</v>
      </c>
    </row>
    <row r="4" ht="20.05" customHeight="1">
      <c r="A4" t="s" s="10">
        <v>4</v>
      </c>
      <c r="B4" s="11">
        <v>0.06</v>
      </c>
      <c r="C4" s="12">
        <v>0.07000000000000001</v>
      </c>
      <c r="D4" s="12">
        <v>0.07000000000000001</v>
      </c>
      <c r="E4" s="12">
        <v>-0.01</v>
      </c>
    </row>
    <row r="5" ht="20.05" customHeight="1">
      <c r="A5" t="s" s="10">
        <v>5</v>
      </c>
      <c r="B5" s="13">
        <f>'Sales'!B15*(1+B4)</f>
        <v>4541.04</v>
      </c>
      <c r="C5" s="14">
        <f>B5*(1+C4)</f>
        <v>4858.9128</v>
      </c>
      <c r="D5" s="14">
        <f>C5*(1+D4)</f>
        <v>5199.036696</v>
      </c>
      <c r="E5" s="14">
        <f>D5*(1+E4)</f>
        <v>5147.04632904</v>
      </c>
    </row>
    <row r="6" ht="20.05" customHeight="1">
      <c r="A6" t="s" s="10">
        <v>6</v>
      </c>
      <c r="B6" s="15">
        <f>'Sales'!F15</f>
        <v>-0.87558356559117</v>
      </c>
      <c r="C6" s="16">
        <f>B6</f>
        <v>-0.87558356559117</v>
      </c>
      <c r="D6" s="16">
        <f>C6</f>
        <v>-0.87558356559117</v>
      </c>
      <c r="E6" s="16">
        <f>D6</f>
        <v>-0.87558356559117</v>
      </c>
    </row>
    <row r="7" ht="20.05" customHeight="1">
      <c r="A7" t="s" s="10">
        <v>7</v>
      </c>
      <c r="B7" s="13">
        <f>B5*B6</f>
        <v>-3976.059994692130</v>
      </c>
      <c r="C7" s="14">
        <f>C5*C6</f>
        <v>-4254.384194320580</v>
      </c>
      <c r="D7" s="14">
        <f>D5*D6</f>
        <v>-4552.191087923020</v>
      </c>
      <c r="E7" s="14">
        <f>E5*E6</f>
        <v>-4506.669177043790</v>
      </c>
    </row>
    <row r="8" ht="20.05" customHeight="1">
      <c r="A8" t="s" s="10">
        <v>8</v>
      </c>
      <c r="B8" s="13">
        <f>B5+B7</f>
        <v>564.980005307870</v>
      </c>
      <c r="C8" s="14">
        <f>C5+C7</f>
        <v>604.528605679420</v>
      </c>
      <c r="D8" s="14">
        <f>D5+D7</f>
        <v>646.8456080769801</v>
      </c>
      <c r="E8" s="14">
        <f>E5+E7</f>
        <v>640.377151996210</v>
      </c>
    </row>
    <row r="9" ht="20.05" customHeight="1">
      <c r="A9" t="s" s="10">
        <v>9</v>
      </c>
      <c r="B9" s="13">
        <f>AVERAGE('Cashflow '!F15)</f>
        <v>-155</v>
      </c>
      <c r="C9" s="14">
        <f>B9</f>
        <v>-155</v>
      </c>
      <c r="D9" s="14">
        <f>C9</f>
        <v>-155</v>
      </c>
      <c r="E9" s="14">
        <f>D9</f>
        <v>-155</v>
      </c>
    </row>
    <row r="10" ht="20.05" customHeight="1">
      <c r="A10" t="s" s="10">
        <v>10</v>
      </c>
      <c r="B10" s="13">
        <f>-'Balance sheet '!F15/20</f>
        <v>-752</v>
      </c>
      <c r="C10" s="14">
        <f>-B26/20</f>
        <v>-714.4</v>
      </c>
      <c r="D10" s="14">
        <f>-C26/20</f>
        <v>-678.6799999999999</v>
      </c>
      <c r="E10" s="14">
        <f>-D26/20</f>
        <v>-644.746</v>
      </c>
    </row>
    <row r="11" ht="20.05" customHeight="1">
      <c r="A11" t="s" s="10">
        <v>11</v>
      </c>
      <c r="B11" s="13">
        <f>-MIN(0,B14)</f>
        <v>478.588996284491</v>
      </c>
      <c r="C11" s="14">
        <f>-MIN(B27,C14)</f>
        <v>413.304976024406</v>
      </c>
      <c r="D11" s="14">
        <f>-MIN(C27,D14)</f>
        <v>347.963074346114</v>
      </c>
      <c r="E11" s="14">
        <f>-MIN(D27,E14)</f>
        <v>318.556993602653</v>
      </c>
    </row>
    <row r="12" ht="20.05" customHeight="1">
      <c r="A12" t="s" s="10">
        <v>12</v>
      </c>
      <c r="B12" s="17">
        <v>0.3</v>
      </c>
      <c r="C12" s="18"/>
      <c r="D12" s="18"/>
      <c r="E12" s="18"/>
    </row>
    <row r="13" ht="20.05" customHeight="1">
      <c r="A13" t="s" s="10">
        <v>13</v>
      </c>
      <c r="B13" s="13">
        <f>IF(B21&gt;0,-B21*$B$12,0)</f>
        <v>-136.569001592361</v>
      </c>
      <c r="C13" s="14">
        <f>IF(C21&gt;0,-C21*$B$12,0)</f>
        <v>-148.433581703826</v>
      </c>
      <c r="D13" s="14">
        <f>IF(D21&gt;0,-D21*$B$12,0)</f>
        <v>-161.128682423094</v>
      </c>
      <c r="E13" s="14">
        <f>IF(E21&gt;0,-E21*$B$12,0)</f>
        <v>-159.188145598863</v>
      </c>
    </row>
    <row r="14" ht="20.05" customHeight="1">
      <c r="A14" t="s" s="10">
        <v>14</v>
      </c>
      <c r="B14" s="13">
        <f>B8+B9+B13+B10</f>
        <v>-478.588996284491</v>
      </c>
      <c r="C14" s="14">
        <f>C8+C9+C13+C10</f>
        <v>-413.304976024406</v>
      </c>
      <c r="D14" s="14">
        <f>D8+D9+D13+D10</f>
        <v>-347.963074346114</v>
      </c>
      <c r="E14" s="14">
        <f>E8+E9+E13+E10</f>
        <v>-318.556993602653</v>
      </c>
    </row>
    <row r="15" ht="20.05" customHeight="1">
      <c r="A15" t="s" s="10">
        <v>15</v>
      </c>
      <c r="B15" s="13">
        <f>B10+B13+B11</f>
        <v>-409.980005307870</v>
      </c>
      <c r="C15" s="14">
        <f>C10+C13+C11</f>
        <v>-449.528605679420</v>
      </c>
      <c r="D15" s="14">
        <f>D10+D13+D11</f>
        <v>-491.845608076980</v>
      </c>
      <c r="E15" s="14">
        <f>E10+E13+E11</f>
        <v>-485.377151996210</v>
      </c>
    </row>
    <row r="16" ht="20.05" customHeight="1">
      <c r="A16" t="s" s="10">
        <v>16</v>
      </c>
      <c r="B16" s="13">
        <f>'Balance sheet '!B15</f>
        <v>2154</v>
      </c>
      <c r="C16" s="14">
        <f>B18</f>
        <v>2154</v>
      </c>
      <c r="D16" s="14">
        <f>C18</f>
        <v>2154</v>
      </c>
      <c r="E16" s="14">
        <f>D18</f>
        <v>2154</v>
      </c>
    </row>
    <row r="17" ht="20.05" customHeight="1">
      <c r="A17" t="s" s="10">
        <v>17</v>
      </c>
      <c r="B17" s="13">
        <f>B8+B9+B15</f>
        <v>0</v>
      </c>
      <c r="C17" s="14">
        <f>C8+C9+C15</f>
        <v>0</v>
      </c>
      <c r="D17" s="14">
        <f>D8+D9+D15</f>
        <v>0</v>
      </c>
      <c r="E17" s="14">
        <f>E8+E9+E15</f>
        <v>0</v>
      </c>
    </row>
    <row r="18" ht="20.05" customHeight="1">
      <c r="A18" t="s" s="10">
        <v>18</v>
      </c>
      <c r="B18" s="13">
        <f>B16+B17</f>
        <v>2154</v>
      </c>
      <c r="C18" s="14">
        <f>C16+C17</f>
        <v>2154</v>
      </c>
      <c r="D18" s="14">
        <f>D16+D17</f>
        <v>2154</v>
      </c>
      <c r="E18" s="14">
        <f>E16+E17</f>
        <v>2154</v>
      </c>
    </row>
    <row r="19" ht="20.05" customHeight="1">
      <c r="A19" t="s" s="10">
        <v>19</v>
      </c>
      <c r="B19" s="19"/>
      <c r="C19" s="18"/>
      <c r="D19" s="18"/>
      <c r="E19" s="18"/>
    </row>
    <row r="20" ht="20.05" customHeight="1">
      <c r="A20" t="s" s="10">
        <v>20</v>
      </c>
      <c r="B20" s="13">
        <f>-AVERAGE('Cashflow '!C12:C15)</f>
        <v>-109.75</v>
      </c>
      <c r="C20" s="14">
        <f>B20</f>
        <v>-109.75</v>
      </c>
      <c r="D20" s="14">
        <f>C20</f>
        <v>-109.75</v>
      </c>
      <c r="E20" s="14">
        <f>D20</f>
        <v>-109.75</v>
      </c>
    </row>
    <row r="21" ht="20.05" customHeight="1">
      <c r="A21" t="s" s="10">
        <v>19</v>
      </c>
      <c r="B21" s="13">
        <f>B5+B7+B20</f>
        <v>455.230005307870</v>
      </c>
      <c r="C21" s="14">
        <f>C5+C7+C20</f>
        <v>494.778605679420</v>
      </c>
      <c r="D21" s="14">
        <f>D5+D7+D20</f>
        <v>537.0956080769801</v>
      </c>
      <c r="E21" s="14">
        <f>E5+E7+E20</f>
        <v>530.627151996210</v>
      </c>
    </row>
    <row r="22" ht="20.05" customHeight="1">
      <c r="A22" t="s" s="10">
        <v>21</v>
      </c>
      <c r="B22" s="19"/>
      <c r="C22" s="18"/>
      <c r="D22" s="18"/>
      <c r="E22" s="18"/>
    </row>
    <row r="23" ht="20.05" customHeight="1">
      <c r="A23" t="s" s="10">
        <v>22</v>
      </c>
      <c r="B23" s="13">
        <f>'Balance sheet '!D15+'Balance sheet '!E15-B9</f>
        <v>28244</v>
      </c>
      <c r="C23" s="14">
        <f>B23-C9</f>
        <v>28399</v>
      </c>
      <c r="D23" s="14">
        <f>C23-D9</f>
        <v>28554</v>
      </c>
      <c r="E23" s="14">
        <f>D23-E9</f>
        <v>28709</v>
      </c>
    </row>
    <row r="24" ht="20.05" customHeight="1">
      <c r="A24" t="s" s="10">
        <v>23</v>
      </c>
      <c r="B24" s="13">
        <f>'Balance sheet '!E15-B20</f>
        <v>8279.75</v>
      </c>
      <c r="C24" s="14">
        <f>B24-C20</f>
        <v>8389.5</v>
      </c>
      <c r="D24" s="14">
        <f>C24-D20</f>
        <v>8499.25</v>
      </c>
      <c r="E24" s="14">
        <f>D24-E20</f>
        <v>8609</v>
      </c>
    </row>
    <row r="25" ht="20.05" customHeight="1">
      <c r="A25" t="s" s="10">
        <v>24</v>
      </c>
      <c r="B25" s="13">
        <f>B23-B24</f>
        <v>19964.25</v>
      </c>
      <c r="C25" s="14">
        <f>C23-C24</f>
        <v>20009.5</v>
      </c>
      <c r="D25" s="14">
        <f>D23-D24</f>
        <v>20054.75</v>
      </c>
      <c r="E25" s="14">
        <f>E23-E24</f>
        <v>20100</v>
      </c>
    </row>
    <row r="26" ht="20.05" customHeight="1">
      <c r="A26" t="s" s="10">
        <v>10</v>
      </c>
      <c r="B26" s="13">
        <f>'Balance sheet '!F15+B10</f>
        <v>14288</v>
      </c>
      <c r="C26" s="14">
        <f>B26+C10</f>
        <v>13573.6</v>
      </c>
      <c r="D26" s="14">
        <f>C26+D10</f>
        <v>12894.92</v>
      </c>
      <c r="E26" s="14">
        <f>D26+E10</f>
        <v>12250.174</v>
      </c>
    </row>
    <row r="27" ht="20.05" customHeight="1">
      <c r="A27" t="s" s="10">
        <v>11</v>
      </c>
      <c r="B27" s="13">
        <f>B11</f>
        <v>478.588996284491</v>
      </c>
      <c r="C27" s="14">
        <f>B27+C11</f>
        <v>891.893972308897</v>
      </c>
      <c r="D27" s="14">
        <f>C27+D11</f>
        <v>1239.857046655010</v>
      </c>
      <c r="E27" s="14">
        <f>D27+E11</f>
        <v>1558.414040257660</v>
      </c>
    </row>
    <row r="28" ht="20.05" customHeight="1">
      <c r="A28" t="s" s="10">
        <v>13</v>
      </c>
      <c r="B28" s="13">
        <f>'Balance sheet '!G15+B21+B13</f>
        <v>7351.661003715510</v>
      </c>
      <c r="C28" s="14">
        <f>B28+C21+C13</f>
        <v>7698.0060276911</v>
      </c>
      <c r="D28" s="14">
        <f>C28+D21+D13</f>
        <v>8073.972953344990</v>
      </c>
      <c r="E28" s="14">
        <f>D28+E21+E13</f>
        <v>8445.411959742340</v>
      </c>
    </row>
    <row r="29" ht="20.05" customHeight="1">
      <c r="A29" t="s" s="10">
        <v>25</v>
      </c>
      <c r="B29" s="13">
        <f>B26+B27+B28-B18-B25</f>
        <v>1e-12</v>
      </c>
      <c r="C29" s="14">
        <f>C26+C27+C28-C18-C25</f>
        <v>-3e-12</v>
      </c>
      <c r="D29" s="14">
        <f>D26+D27+D28-D18-D25</f>
        <v>0</v>
      </c>
      <c r="E29" s="14">
        <f>E26+E27+E28-E18-E25</f>
        <v>0</v>
      </c>
    </row>
    <row r="30" ht="20.05" customHeight="1">
      <c r="A30" t="s" s="10">
        <v>26</v>
      </c>
      <c r="B30" s="13">
        <f>B18-B26-B27</f>
        <v>-12612.5889962845</v>
      </c>
      <c r="C30" s="14">
        <f>C18-C26-C27</f>
        <v>-12311.4939723089</v>
      </c>
      <c r="D30" s="14">
        <f>D18-D26-D27</f>
        <v>-11980.777046655</v>
      </c>
      <c r="E30" s="14">
        <f>E18-E26-E27</f>
        <v>-11654.5880402577</v>
      </c>
    </row>
    <row r="31" ht="20.05" customHeight="1">
      <c r="A31" t="s" s="10">
        <v>27</v>
      </c>
      <c r="B31" s="19"/>
      <c r="C31" s="18"/>
      <c r="D31" s="18"/>
      <c r="E31" s="18"/>
    </row>
    <row r="32" ht="20.05" customHeight="1">
      <c r="A32" t="s" s="10">
        <v>28</v>
      </c>
      <c r="B32" s="13">
        <f>'Cashflow '!M15-B15</f>
        <v>3617.980005307870</v>
      </c>
      <c r="C32" s="14">
        <f>B32-C15</f>
        <v>4067.508610987290</v>
      </c>
      <c r="D32" s="14">
        <f>C32-D15</f>
        <v>4559.354219064270</v>
      </c>
      <c r="E32" s="14">
        <f>D32-E15</f>
        <v>5044.731371060480</v>
      </c>
    </row>
    <row r="33" ht="20.05" customHeight="1">
      <c r="A33" t="s" s="10">
        <v>29</v>
      </c>
      <c r="B33" s="19"/>
      <c r="C33" s="18"/>
      <c r="D33" s="18"/>
      <c r="E33" s="14">
        <v>28583620608</v>
      </c>
    </row>
    <row r="34" ht="20.05" customHeight="1">
      <c r="A34" t="s" s="10">
        <v>29</v>
      </c>
      <c r="B34" s="19"/>
      <c r="C34" s="18"/>
      <c r="D34" s="18"/>
      <c r="E34" s="14">
        <f>E33/1000000</f>
        <v>28583.620608</v>
      </c>
    </row>
    <row r="35" ht="20.05" customHeight="1">
      <c r="A35" t="s" s="10">
        <v>30</v>
      </c>
      <c r="B35" s="19"/>
      <c r="C35" s="18"/>
      <c r="D35" s="18"/>
      <c r="E35" s="20">
        <f>E34/(E18+E25)</f>
        <v>1.28442619789701</v>
      </c>
    </row>
    <row r="36" ht="20.05" customHeight="1">
      <c r="A36" t="s" s="10">
        <v>31</v>
      </c>
      <c r="B36" s="19"/>
      <c r="C36" s="18"/>
      <c r="D36" s="18"/>
      <c r="E36" s="16">
        <f>-(E13+D13+C13+B13)/E34</f>
        <v>0.021177142658713</v>
      </c>
    </row>
    <row r="37" ht="20.05" customHeight="1">
      <c r="A37" t="s" s="10">
        <v>32</v>
      </c>
      <c r="B37" s="19"/>
      <c r="C37" s="18"/>
      <c r="D37" s="18"/>
      <c r="E37" s="14">
        <f>SUM(B8:E9)</f>
        <v>1836.731371060480</v>
      </c>
    </row>
    <row r="38" ht="20.05" customHeight="1">
      <c r="A38" t="s" s="10">
        <v>33</v>
      </c>
      <c r="B38" s="19"/>
      <c r="C38" s="18"/>
      <c r="D38" s="18"/>
      <c r="E38" s="14">
        <f>'Balance sheet '!D15/E37</f>
        <v>10.8448085081159</v>
      </c>
    </row>
    <row r="39" ht="20.05" customHeight="1">
      <c r="A39" t="s" s="10">
        <v>27</v>
      </c>
      <c r="B39" s="19"/>
      <c r="C39" s="18"/>
      <c r="D39" s="18"/>
      <c r="E39" s="14">
        <f>E34/E37</f>
        <v>15.5622215955818</v>
      </c>
    </row>
    <row r="40" ht="20.05" customHeight="1">
      <c r="A40" t="s" s="10">
        <v>34</v>
      </c>
      <c r="B40" s="19"/>
      <c r="C40" s="18"/>
      <c r="D40" s="18"/>
      <c r="E40" s="21">
        <v>20</v>
      </c>
    </row>
    <row r="41" ht="20.05" customHeight="1">
      <c r="A41" t="s" s="10">
        <v>35</v>
      </c>
      <c r="B41" s="19"/>
      <c r="C41" s="18"/>
      <c r="D41" s="18"/>
      <c r="E41" s="14">
        <f>E37*E40</f>
        <v>36734.6274212096</v>
      </c>
    </row>
    <row r="42" ht="20.05" customHeight="1">
      <c r="A42" t="s" s="10">
        <v>36</v>
      </c>
      <c r="B42" s="19"/>
      <c r="C42" s="18"/>
      <c r="D42" s="18"/>
      <c r="E42" s="21">
        <f>E34/E44</f>
        <v>901.976036857053</v>
      </c>
    </row>
    <row r="43" ht="20.05" customHeight="1">
      <c r="A43" t="s" s="10">
        <v>37</v>
      </c>
      <c r="B43" s="19"/>
      <c r="C43" s="18"/>
      <c r="D43" s="18"/>
      <c r="E43" s="14">
        <f>E41/E42</f>
        <v>40.7268329979274</v>
      </c>
    </row>
    <row r="44" ht="20.05" customHeight="1">
      <c r="A44" t="s" s="10">
        <v>38</v>
      </c>
      <c r="B44" s="19"/>
      <c r="C44" s="18"/>
      <c r="D44" s="18"/>
      <c r="E44" s="21">
        <v>31.69</v>
      </c>
    </row>
    <row r="45" ht="20.05" customHeight="1">
      <c r="A45" t="s" s="10">
        <v>39</v>
      </c>
      <c r="B45" s="19"/>
      <c r="C45" s="18"/>
      <c r="D45" s="18"/>
      <c r="E45" s="12">
        <f>E43/E44-1</f>
        <v>0.285163553105945</v>
      </c>
    </row>
    <row r="46" ht="20.05" customHeight="1">
      <c r="A46" t="s" s="10">
        <v>40</v>
      </c>
      <c r="B46" s="19"/>
      <c r="C46" s="18"/>
      <c r="D46" s="18"/>
      <c r="E46" s="16">
        <f>'Sales'!B15/'Sales'!B11-1</f>
        <v>0.241379310344828</v>
      </c>
    </row>
    <row r="47" ht="20.05" customHeight="1">
      <c r="A47" t="s" s="10">
        <v>41</v>
      </c>
      <c r="B47" s="19"/>
      <c r="C47" s="18"/>
      <c r="D47" s="18"/>
      <c r="E47" s="16">
        <f>'Sales'!E18/'Sales'!D18-1</f>
        <v>0.088218954248366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2:G1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8.25781" style="22" customWidth="1"/>
    <col min="2" max="7" width="12.9453" style="22" customWidth="1"/>
    <col min="8" max="16384" width="16.3516" style="22" customWidth="1"/>
  </cols>
  <sheetData>
    <row r="1" ht="27.65" customHeight="1">
      <c r="A1" t="s" s="2">
        <v>5</v>
      </c>
      <c r="B1" s="2"/>
      <c r="C1" s="2"/>
      <c r="D1" s="2"/>
      <c r="E1" s="2"/>
      <c r="F1" s="2"/>
      <c r="G1" s="2"/>
    </row>
    <row r="2" ht="20.25" customHeight="1">
      <c r="A2" t="s" s="5">
        <v>1</v>
      </c>
      <c r="B2" t="s" s="5">
        <v>5</v>
      </c>
      <c r="C2" t="s" s="5">
        <v>34</v>
      </c>
      <c r="D2" t="s" s="5">
        <v>4</v>
      </c>
      <c r="E2" t="s" s="5">
        <v>42</v>
      </c>
      <c r="F2" t="s" s="5">
        <v>42</v>
      </c>
      <c r="G2" t="s" s="5">
        <v>34</v>
      </c>
    </row>
    <row r="3" ht="20.25" customHeight="1">
      <c r="A3" s="23">
        <v>2019</v>
      </c>
      <c r="B3" s="24">
        <v>5737</v>
      </c>
      <c r="C3" s="25"/>
      <c r="D3" s="25"/>
      <c r="E3" s="26">
        <f>('Cashflow '!B3+'Cashflow '!C3-B3)/B3</f>
        <v>-0.9179013421648951</v>
      </c>
      <c r="F3" s="26"/>
      <c r="G3" s="26"/>
    </row>
    <row r="4" ht="20.05" customHeight="1">
      <c r="A4" s="27"/>
      <c r="B4" s="13">
        <v>5930</v>
      </c>
      <c r="C4" s="16"/>
      <c r="D4" s="16">
        <f>B4/B3-1</f>
        <v>0.0336412759281855</v>
      </c>
      <c r="E4" s="16">
        <f>('Cashflow '!B4+'Cashflow '!C4-B4)/B4</f>
        <v>-0.883473861720067</v>
      </c>
      <c r="F4" s="16">
        <f>AVERAGE(E2:E4)</f>
        <v>-0.900687601942481</v>
      </c>
      <c r="G4" s="16"/>
    </row>
    <row r="5" ht="20.05" customHeight="1">
      <c r="A5" s="27"/>
      <c r="B5" s="13">
        <v>5550</v>
      </c>
      <c r="C5" s="16"/>
      <c r="D5" s="16">
        <f>B5/B4-1</f>
        <v>-0.06408094435075889</v>
      </c>
      <c r="E5" s="16">
        <f>('Cashflow '!B5+'Cashflow '!C5-B5)/B5</f>
        <v>-0.860900900900901</v>
      </c>
      <c r="F5" s="16">
        <f>AVERAGE(E2:E5)</f>
        <v>-0.887425368261954</v>
      </c>
      <c r="G5" s="16"/>
    </row>
    <row r="6" ht="20.05" customHeight="1">
      <c r="A6" s="27"/>
      <c r="B6" s="13">
        <v>5191</v>
      </c>
      <c r="C6" s="16"/>
      <c r="D6" s="16">
        <f>B6/B5-1</f>
        <v>-0.0646846846846847</v>
      </c>
      <c r="E6" s="16">
        <f>('Cashflow '!B6+'Cashflow '!C6-B6)/B6</f>
        <v>-0.870545174340204</v>
      </c>
      <c r="F6" s="16">
        <f>AVERAGE(E3:E6)</f>
        <v>-0.883205319781517</v>
      </c>
      <c r="G6" s="16"/>
    </row>
    <row r="7" ht="20.05" customHeight="1">
      <c r="A7" s="28">
        <v>2020</v>
      </c>
      <c r="B7" s="13">
        <v>5037</v>
      </c>
      <c r="C7" s="16"/>
      <c r="D7" s="16">
        <f>B7/B6-1</f>
        <v>-0.0296667308803699</v>
      </c>
      <c r="E7" s="16">
        <f>('Cashflow '!B7+'Cashflow '!C7-B7)/B7</f>
        <v>-0.915624379591026</v>
      </c>
      <c r="F7" s="16">
        <f>AVERAGE(E4:E7)</f>
        <v>-0.88263607913805</v>
      </c>
      <c r="G7" s="16"/>
    </row>
    <row r="8" ht="20.05" customHeight="1">
      <c r="A8" s="27"/>
      <c r="B8" s="13">
        <v>3196</v>
      </c>
      <c r="C8" s="16"/>
      <c r="D8" s="16">
        <f>B8/B7-1</f>
        <v>-0.365495334524519</v>
      </c>
      <c r="E8" s="16">
        <f>('Cashflow '!B8+'Cashflow '!C8-B8)/B8</f>
        <v>-0.968085106382979</v>
      </c>
      <c r="F8" s="16">
        <f>AVERAGE(E5:E8)</f>
        <v>-0.903788890303778</v>
      </c>
      <c r="G8" s="16"/>
    </row>
    <row r="9" ht="20.05" customHeight="1">
      <c r="A9" s="27"/>
      <c r="B9" s="13">
        <v>2975</v>
      </c>
      <c r="C9" s="16"/>
      <c r="D9" s="16">
        <f>B9/B8-1</f>
        <v>-0.0691489361702128</v>
      </c>
      <c r="E9" s="16">
        <f>('Cashflow '!B9+'Cashflow '!C9-B9)/B9</f>
        <v>-0.919327731092437</v>
      </c>
      <c r="F9" s="16">
        <f>AVERAGE(E6:E9)</f>
        <v>-0.918395597851662</v>
      </c>
      <c r="G9" s="16"/>
    </row>
    <row r="10" ht="20.05" customHeight="1">
      <c r="A10" s="27"/>
      <c r="B10" s="13">
        <v>3237</v>
      </c>
      <c r="C10" s="16"/>
      <c r="D10" s="16">
        <f>B10/B9-1</f>
        <v>0.0880672268907563</v>
      </c>
      <c r="E10" s="16">
        <f>('Cashflow '!B10+'Cashflow '!C10-B10)/B10</f>
        <v>-0.902996601791783</v>
      </c>
      <c r="F10" s="16">
        <f>AVERAGE(E7:E10)</f>
        <v>-0.926508454714556</v>
      </c>
      <c r="G10" s="16"/>
    </row>
    <row r="11" ht="20.05" customHeight="1">
      <c r="A11" s="28">
        <v>2021</v>
      </c>
      <c r="B11" s="13">
        <v>3451</v>
      </c>
      <c r="C11" s="16"/>
      <c r="D11" s="16">
        <f>B11/B10-1</f>
        <v>0.06611059623107821</v>
      </c>
      <c r="E11" s="16">
        <f>('Cashflow '!B11+'Cashflow '!C11-B11)/B11</f>
        <v>-0.958272964358157</v>
      </c>
      <c r="F11" s="16">
        <f>AVERAGE(E8:E11)</f>
        <v>-0.937170600906339</v>
      </c>
      <c r="G11" s="16"/>
    </row>
    <row r="12" ht="20.05" customHeight="1">
      <c r="A12" s="27"/>
      <c r="B12" s="13">
        <v>3707</v>
      </c>
      <c r="C12" s="16"/>
      <c r="D12" s="16">
        <f>B12/B11-1</f>
        <v>0.0741813966966097</v>
      </c>
      <c r="E12" s="16">
        <f>('Cashflow '!B12+'Cashflow '!C12-B12)/B12</f>
        <v>-0.87671971944969</v>
      </c>
      <c r="F12" s="16">
        <f>AVERAGE(E9:E12)</f>
        <v>-0.914329254173017</v>
      </c>
      <c r="G12" s="16"/>
    </row>
    <row r="13" ht="20.05" customHeight="1">
      <c r="A13" s="27"/>
      <c r="B13" s="13">
        <v>3860</v>
      </c>
      <c r="C13" s="16"/>
      <c r="D13" s="16">
        <f>B13/B12-1</f>
        <v>0.0412732667925546</v>
      </c>
      <c r="E13" s="16">
        <f>('Cashflow '!B13+'Cashflow '!C13-B13)/B13</f>
        <v>-0.858290155440415</v>
      </c>
      <c r="F13" s="16">
        <f>AVERAGE(E10:E13)</f>
        <v>-0.899069860260011</v>
      </c>
      <c r="G13" s="16"/>
    </row>
    <row r="14" ht="20.05" customHeight="1">
      <c r="A14" s="27"/>
      <c r="B14" s="13">
        <v>4277</v>
      </c>
      <c r="C14" s="14"/>
      <c r="D14" s="16">
        <f>B14/B13-1</f>
        <v>0.108031088082902</v>
      </c>
      <c r="E14" s="16">
        <f>('Cashflow '!B14+'Cashflow '!C14-B14)/B14</f>
        <v>-0.888239420154314</v>
      </c>
      <c r="F14" s="16">
        <f>AVERAGE(E11:E14)</f>
        <v>-0.895380564850644</v>
      </c>
      <c r="G14" s="16"/>
    </row>
    <row r="15" ht="20.05" customHeight="1">
      <c r="A15" s="28">
        <v>2022</v>
      </c>
      <c r="B15" s="13">
        <v>4284</v>
      </c>
      <c r="C15" s="14">
        <v>4661.93</v>
      </c>
      <c r="D15" s="16">
        <f>B15/B14-1</f>
        <v>0.0016366612111293</v>
      </c>
      <c r="E15" s="16">
        <f>('Cashflow '!B15+'Cashflow '!C15-B15)/B15</f>
        <v>-0.879084967320261</v>
      </c>
      <c r="F15" s="16">
        <f>AVERAGE(E12:E15)</f>
        <v>-0.87558356559117</v>
      </c>
      <c r="G15" s="16">
        <v>-0.888239420154314</v>
      </c>
    </row>
    <row r="16" ht="20.05" customHeight="1">
      <c r="A16" s="27"/>
      <c r="B16" s="13"/>
      <c r="C16" s="14">
        <f>'Model'!B5</f>
        <v>4541.04</v>
      </c>
      <c r="D16" s="14"/>
      <c r="E16" s="18"/>
      <c r="F16" s="18"/>
      <c r="G16" s="16">
        <f>'Model'!B6</f>
        <v>-0.87558356559117</v>
      </c>
    </row>
    <row r="17" ht="20.05" customHeight="1">
      <c r="A17" s="27"/>
      <c r="B17" s="13"/>
      <c r="C17" s="14">
        <f>'Model'!C5</f>
        <v>4858.9128</v>
      </c>
      <c r="D17" s="14"/>
      <c r="E17" s="14"/>
      <c r="F17" s="14"/>
      <c r="G17" s="14"/>
    </row>
    <row r="18" ht="20.05" customHeight="1">
      <c r="A18" s="27"/>
      <c r="B18" s="13"/>
      <c r="C18" s="14">
        <f>'Model'!D5</f>
        <v>5199.036696</v>
      </c>
      <c r="D18" s="14">
        <f>B15</f>
        <v>4284</v>
      </c>
      <c r="E18" s="14">
        <f>C15</f>
        <v>4661.93</v>
      </c>
      <c r="F18" s="14"/>
      <c r="G18" s="14"/>
    </row>
    <row r="19" ht="20.05" customHeight="1">
      <c r="A19" s="28">
        <v>2023</v>
      </c>
      <c r="B19" s="13"/>
      <c r="C19" s="14">
        <f>'Model'!E5</f>
        <v>5147.04632904</v>
      </c>
      <c r="D19" s="16"/>
      <c r="E19" s="14"/>
      <c r="F19" s="14"/>
      <c r="G19" s="14"/>
    </row>
  </sheetData>
  <mergeCells count="1">
    <mergeCell ref="A1:G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O1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8.25781" style="29" customWidth="1"/>
    <col min="2" max="15" width="10.1094" style="29" customWidth="1"/>
    <col min="16" max="16384" width="16.3516" style="29" customWidth="1"/>
  </cols>
  <sheetData>
    <row r="1" ht="27.65" customHeight="1">
      <c r="A1" t="s" s="2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2.25" customHeight="1">
      <c r="A2" t="s" s="5">
        <v>1</v>
      </c>
      <c r="B2" t="s" s="5">
        <v>43</v>
      </c>
      <c r="C2" t="s" s="5">
        <v>44</v>
      </c>
      <c r="D2" t="s" s="5">
        <v>45</v>
      </c>
      <c r="E2" t="s" s="5">
        <v>8</v>
      </c>
      <c r="F2" t="s" s="3">
        <v>9</v>
      </c>
      <c r="G2" t="s" s="5">
        <v>10</v>
      </c>
      <c r="H2" t="s" s="5">
        <v>13</v>
      </c>
      <c r="I2" t="s" s="5">
        <v>15</v>
      </c>
      <c r="J2" t="s" s="5">
        <v>46</v>
      </c>
      <c r="K2" t="s" s="5">
        <v>3</v>
      </c>
      <c r="L2" t="s" s="5">
        <v>34</v>
      </c>
      <c r="M2" t="s" s="5">
        <v>28</v>
      </c>
      <c r="N2" t="s" s="5">
        <v>34</v>
      </c>
      <c r="O2" s="30"/>
    </row>
    <row r="3" ht="20.25" customHeight="1">
      <c r="A3" s="23">
        <v>2019</v>
      </c>
      <c r="B3" s="24">
        <v>152</v>
      </c>
      <c r="C3" s="25">
        <f>E3-D3-B3</f>
        <v>319</v>
      </c>
      <c r="D3" s="25">
        <v>-515</v>
      </c>
      <c r="E3" s="25">
        <v>-44</v>
      </c>
      <c r="F3" s="25">
        <v>-411</v>
      </c>
      <c r="G3" s="25"/>
      <c r="H3" s="25">
        <v>-155</v>
      </c>
      <c r="I3" s="25">
        <f>H3+G3</f>
        <v>-155</v>
      </c>
      <c r="J3" s="25">
        <f>E3+F3</f>
        <v>-455</v>
      </c>
      <c r="K3" s="25"/>
      <c r="L3" s="25"/>
      <c r="M3" s="25">
        <f>-I3</f>
        <v>155</v>
      </c>
      <c r="N3" s="25"/>
      <c r="O3" s="25">
        <v>1</v>
      </c>
    </row>
    <row r="4" ht="20.05" customHeight="1">
      <c r="A4" s="27"/>
      <c r="B4" s="13">
        <f>229-B3</f>
        <v>77</v>
      </c>
      <c r="C4" s="14">
        <f>E4-D4-B4</f>
        <v>614</v>
      </c>
      <c r="D4" s="14">
        <f>-755-D3</f>
        <v>-240</v>
      </c>
      <c r="E4" s="14">
        <f>407-E3</f>
        <v>451</v>
      </c>
      <c r="F4" s="14">
        <f>-811-F3</f>
        <v>-400</v>
      </c>
      <c r="G4" s="14"/>
      <c r="H4" s="14">
        <f>-408-H3</f>
        <v>-253</v>
      </c>
      <c r="I4" s="14">
        <f>H4+G4</f>
        <v>-253</v>
      </c>
      <c r="J4" s="14">
        <f>E4+F4</f>
        <v>51</v>
      </c>
      <c r="K4" s="14">
        <f>AVERAGE(J2:J4)</f>
        <v>-202</v>
      </c>
      <c r="L4" s="14"/>
      <c r="M4" s="14">
        <f>-I4+M3</f>
        <v>408</v>
      </c>
      <c r="N4" s="14"/>
      <c r="O4" s="14">
        <f>1+O3</f>
        <v>2</v>
      </c>
    </row>
    <row r="5" ht="20.05" customHeight="1">
      <c r="A5" s="27"/>
      <c r="B5" s="13">
        <v>296</v>
      </c>
      <c r="C5" s="14">
        <f>417+59</f>
        <v>476</v>
      </c>
      <c r="D5" s="14">
        <v>99</v>
      </c>
      <c r="E5" s="14">
        <f>B5+C5+D5</f>
        <v>871</v>
      </c>
      <c r="F5" s="14">
        <v>-319</v>
      </c>
      <c r="G5" s="14"/>
      <c r="H5" s="14">
        <v>-142</v>
      </c>
      <c r="I5" s="14">
        <f>H5+G5</f>
        <v>-142</v>
      </c>
      <c r="J5" s="14">
        <f>E5+F5</f>
        <v>552</v>
      </c>
      <c r="K5" s="14">
        <f>AVERAGE(J2:J5)</f>
        <v>49.3333333333333</v>
      </c>
      <c r="L5" s="14"/>
      <c r="M5" s="14">
        <f>-I5+M4</f>
        <v>550</v>
      </c>
      <c r="N5" s="14"/>
      <c r="O5" s="14">
        <f>1+O4</f>
        <v>3</v>
      </c>
    </row>
    <row r="6" ht="20.05" customHeight="1">
      <c r="A6" s="27"/>
      <c r="B6" s="13">
        <v>-1654</v>
      </c>
      <c r="C6" s="14">
        <f>E6-D6-B6</f>
        <v>2326</v>
      </c>
      <c r="D6" s="14">
        <v>495</v>
      </c>
      <c r="E6" s="14">
        <v>1167</v>
      </c>
      <c r="F6" s="14">
        <v>-315</v>
      </c>
      <c r="G6" s="14"/>
      <c r="H6" s="14">
        <v>-145</v>
      </c>
      <c r="I6" s="14">
        <f>H6+G6</f>
        <v>-145</v>
      </c>
      <c r="J6" s="14">
        <f>E6+F6</f>
        <v>852</v>
      </c>
      <c r="K6" s="14">
        <f>AVERAGE(J3:J6)</f>
        <v>250</v>
      </c>
      <c r="L6" s="14"/>
      <c r="M6" s="14">
        <f>-I6+M5</f>
        <v>695</v>
      </c>
      <c r="N6" s="14"/>
      <c r="O6" s="14">
        <f>1+O5</f>
        <v>4</v>
      </c>
    </row>
    <row r="7" ht="20.05" customHeight="1">
      <c r="A7" s="28">
        <v>2020</v>
      </c>
      <c r="B7" s="13">
        <v>-1015</v>
      </c>
      <c r="C7" s="14">
        <f>E7-D7-B7</f>
        <v>1440</v>
      </c>
      <c r="D7" s="14">
        <v>-200</v>
      </c>
      <c r="E7" s="14">
        <v>225</v>
      </c>
      <c r="F7" s="14">
        <v>-165</v>
      </c>
      <c r="G7" s="14">
        <f>-1651+994</f>
        <v>-657</v>
      </c>
      <c r="H7" s="14">
        <f>-903-G7</f>
        <v>-246</v>
      </c>
      <c r="I7" s="14">
        <f>H7+G7</f>
        <v>-903</v>
      </c>
      <c r="J7" s="14">
        <f>E7+F7</f>
        <v>60</v>
      </c>
      <c r="K7" s="14">
        <f>AVERAGE(J4:J7)</f>
        <v>378.75</v>
      </c>
      <c r="L7" s="14"/>
      <c r="M7" s="14">
        <f>-I7+M6</f>
        <v>1598</v>
      </c>
      <c r="N7" s="14"/>
      <c r="O7" s="14">
        <f>1+O6</f>
        <v>5</v>
      </c>
    </row>
    <row r="8" ht="20.05" customHeight="1">
      <c r="A8" s="27"/>
      <c r="B8" s="13">
        <v>-1681</v>
      </c>
      <c r="C8" s="14">
        <f>E8-D8-B8</f>
        <v>1783</v>
      </c>
      <c r="D8" s="14">
        <v>496</v>
      </c>
      <c r="E8" s="14">
        <v>598</v>
      </c>
      <c r="F8" s="14">
        <v>-116</v>
      </c>
      <c r="G8" s="14">
        <v>-2</v>
      </c>
      <c r="H8" s="14">
        <v>-32</v>
      </c>
      <c r="I8" s="14">
        <f>H8+G8</f>
        <v>-34</v>
      </c>
      <c r="J8" s="14">
        <f>E8+F8</f>
        <v>482</v>
      </c>
      <c r="K8" s="14">
        <f>AVERAGE(J5:J8)</f>
        <v>486.5</v>
      </c>
      <c r="L8" s="14"/>
      <c r="M8" s="14">
        <f>-I8+M7</f>
        <v>1632</v>
      </c>
      <c r="N8" s="14"/>
      <c r="O8" s="14">
        <f>1+O7</f>
        <v>6</v>
      </c>
    </row>
    <row r="9" ht="20.05" customHeight="1">
      <c r="A9" s="27"/>
      <c r="B9" s="13">
        <v>-19</v>
      </c>
      <c r="C9" s="14">
        <f>E9-D9-B9</f>
        <v>259</v>
      </c>
      <c r="D9" s="14">
        <v>180</v>
      </c>
      <c r="E9" s="14">
        <v>420</v>
      </c>
      <c r="F9" s="14">
        <v>-63</v>
      </c>
      <c r="G9" s="14"/>
      <c r="H9" s="14">
        <v>-35</v>
      </c>
      <c r="I9" s="14">
        <f>H9+G9</f>
        <v>-35</v>
      </c>
      <c r="J9" s="14">
        <f>E9+F9</f>
        <v>357</v>
      </c>
      <c r="K9" s="14">
        <f>AVERAGE(J6:J9)</f>
        <v>437.75</v>
      </c>
      <c r="L9" s="14"/>
      <c r="M9" s="14">
        <f>-I9+M8</f>
        <v>1667</v>
      </c>
      <c r="N9" s="14"/>
      <c r="O9" s="14">
        <f>1+O8</f>
        <v>7</v>
      </c>
    </row>
    <row r="10" ht="20.05" customHeight="1">
      <c r="A10" s="27"/>
      <c r="B10" s="13">
        <v>-227</v>
      </c>
      <c r="C10" s="14">
        <f>E10-D10-B10</f>
        <v>541</v>
      </c>
      <c r="D10" s="14">
        <v>324</v>
      </c>
      <c r="E10" s="14">
        <v>638</v>
      </c>
      <c r="F10" s="14">
        <v>-142</v>
      </c>
      <c r="G10" s="14">
        <v>-1</v>
      </c>
      <c r="H10" s="14">
        <v>-34</v>
      </c>
      <c r="I10" s="14">
        <f>H10+G10</f>
        <v>-35</v>
      </c>
      <c r="J10" s="14">
        <f>E10+F10</f>
        <v>496</v>
      </c>
      <c r="K10" s="14">
        <f>AVERAGE(J7:J10)</f>
        <v>348.75</v>
      </c>
      <c r="L10" s="14"/>
      <c r="M10" s="14">
        <f>-I10+M9</f>
        <v>1702</v>
      </c>
      <c r="N10" s="14"/>
      <c r="O10" s="14">
        <f>1+O9</f>
        <v>8</v>
      </c>
    </row>
    <row r="11" ht="20.05" customHeight="1">
      <c r="A11" s="28">
        <v>2021</v>
      </c>
      <c r="B11" s="13">
        <v>171</v>
      </c>
      <c r="C11" s="14">
        <f>E11-D11-B11</f>
        <v>-27</v>
      </c>
      <c r="D11" s="14">
        <v>59</v>
      </c>
      <c r="E11" s="14">
        <v>203</v>
      </c>
      <c r="F11" s="14">
        <v>-62</v>
      </c>
      <c r="G11" s="14">
        <v>-188</v>
      </c>
      <c r="H11" s="14">
        <v>-35</v>
      </c>
      <c r="I11" s="14">
        <f>H11+G11</f>
        <v>-223</v>
      </c>
      <c r="J11" s="14">
        <f>E11+F11</f>
        <v>141</v>
      </c>
      <c r="K11" s="14">
        <f>AVERAGE(J8:J11)</f>
        <v>369</v>
      </c>
      <c r="L11" s="14"/>
      <c r="M11" s="14">
        <f>-I11+M10</f>
        <v>1925</v>
      </c>
      <c r="N11" s="14"/>
      <c r="O11" s="14">
        <f>1+O10</f>
        <v>9</v>
      </c>
    </row>
    <row r="12" ht="20.05" customHeight="1">
      <c r="A12" s="27"/>
      <c r="B12" s="13">
        <v>230</v>
      </c>
      <c r="C12" s="14">
        <f>E12-D12-B12</f>
        <v>227</v>
      </c>
      <c r="D12" s="14">
        <v>-48</v>
      </c>
      <c r="E12" s="14">
        <v>409</v>
      </c>
      <c r="F12" s="14">
        <v>-159</v>
      </c>
      <c r="G12" s="14">
        <v>-4</v>
      </c>
      <c r="H12" s="14">
        <v>-41</v>
      </c>
      <c r="I12" s="14">
        <f>H12+G12</f>
        <v>-45</v>
      </c>
      <c r="J12" s="14">
        <f>E12+F12</f>
        <v>250</v>
      </c>
      <c r="K12" s="14">
        <f>AVERAGE(J9:J12)</f>
        <v>311</v>
      </c>
      <c r="L12" s="14"/>
      <c r="M12" s="14">
        <f>-I12+M11</f>
        <v>1970</v>
      </c>
      <c r="N12" s="14"/>
      <c r="O12" s="14">
        <f>1+O11</f>
        <v>10</v>
      </c>
    </row>
    <row r="13" ht="20.05" customHeight="1">
      <c r="A13" s="27"/>
      <c r="B13" s="13">
        <v>240</v>
      </c>
      <c r="C13" s="14">
        <f>E13-D13-B13</f>
        <v>307</v>
      </c>
      <c r="D13" s="14">
        <v>70</v>
      </c>
      <c r="E13" s="14">
        <v>617</v>
      </c>
      <c r="F13" s="14">
        <v>-87</v>
      </c>
      <c r="G13" s="14">
        <v>-504</v>
      </c>
      <c r="H13" s="14">
        <v>-38</v>
      </c>
      <c r="I13" s="14">
        <f>H13+G13</f>
        <v>-542</v>
      </c>
      <c r="J13" s="14">
        <f>E13+F13</f>
        <v>530</v>
      </c>
      <c r="K13" s="14">
        <f>AVERAGE(J10:J13)</f>
        <v>354.25</v>
      </c>
      <c r="L13" s="14"/>
      <c r="M13" s="14">
        <f>-I13+M12</f>
        <v>2512</v>
      </c>
      <c r="N13" s="14"/>
      <c r="O13" s="14">
        <f>1+O12</f>
        <v>11</v>
      </c>
    </row>
    <row r="14" ht="20.05" customHeight="1">
      <c r="A14" s="27"/>
      <c r="B14" s="13">
        <v>827</v>
      </c>
      <c r="C14" s="14">
        <f>E14-D14-B14</f>
        <v>-349</v>
      </c>
      <c r="D14" s="14">
        <v>204</v>
      </c>
      <c r="E14" s="14">
        <v>682</v>
      </c>
      <c r="F14" s="14">
        <v>-226</v>
      </c>
      <c r="G14" s="14">
        <v>-4</v>
      </c>
      <c r="H14" s="14">
        <v>-24</v>
      </c>
      <c r="I14" s="14">
        <f>H14+G14</f>
        <v>-28</v>
      </c>
      <c r="J14" s="14">
        <f>E14+F14</f>
        <v>456</v>
      </c>
      <c r="K14" s="14">
        <f>AVERAGE(J11:J14)</f>
        <v>344.25</v>
      </c>
      <c r="L14" s="14"/>
      <c r="M14" s="14">
        <f>-I14+M13</f>
        <v>2540</v>
      </c>
      <c r="N14" s="14"/>
      <c r="O14" s="14">
        <f>1+O13</f>
        <v>12</v>
      </c>
    </row>
    <row r="15" ht="20.05" customHeight="1">
      <c r="A15" s="28">
        <v>2022</v>
      </c>
      <c r="B15" s="13">
        <v>264</v>
      </c>
      <c r="C15" s="14">
        <v>254</v>
      </c>
      <c r="D15" s="14">
        <f>E15-C15-B15</f>
        <v>-568</v>
      </c>
      <c r="E15" s="14">
        <v>-50</v>
      </c>
      <c r="F15" s="14">
        <v>-155</v>
      </c>
      <c r="G15" s="14">
        <v>-640</v>
      </c>
      <c r="H15" s="14">
        <v>-105</v>
      </c>
      <c r="I15" s="14">
        <v>-668</v>
      </c>
      <c r="J15" s="14">
        <f>E15+F15</f>
        <v>-205</v>
      </c>
      <c r="K15" s="14">
        <f>AVERAGE(J12:J15)</f>
        <v>257.75</v>
      </c>
      <c r="L15" s="14">
        <v>474.973412546667</v>
      </c>
      <c r="M15" s="14">
        <f>-I15+M14</f>
        <v>3208</v>
      </c>
      <c r="N15" s="14">
        <v>4207.215496546680</v>
      </c>
      <c r="O15" s="14">
        <f>1+O14</f>
        <v>13</v>
      </c>
    </row>
    <row r="16" ht="20.05" customHeight="1">
      <c r="A16" s="27"/>
      <c r="B16" s="13"/>
      <c r="C16" s="14"/>
      <c r="D16" s="14"/>
      <c r="E16" s="14"/>
      <c r="F16" s="14"/>
      <c r="G16" s="14"/>
      <c r="H16" s="14"/>
      <c r="I16" s="14"/>
      <c r="J16" s="18"/>
      <c r="K16" s="18"/>
      <c r="L16" s="14">
        <f>'Model'!E8+'Model'!E9</f>
        <v>485.377151996210</v>
      </c>
      <c r="M16" s="18"/>
      <c r="N16" s="14">
        <f>'Model'!E32</f>
        <v>5044.731371060480</v>
      </c>
      <c r="O16" s="14"/>
    </row>
  </sheetData>
  <mergeCells count="1">
    <mergeCell ref="A1:O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1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8.25781" style="31" customWidth="1"/>
    <col min="2" max="10" width="12.0469" style="31" customWidth="1"/>
    <col min="11" max="16384" width="16.3516" style="31" customWidth="1"/>
  </cols>
  <sheetData>
    <row r="1" ht="27.65" customHeight="1">
      <c r="A1" t="s" s="2">
        <v>47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t="s" s="5">
        <v>1</v>
      </c>
      <c r="B2" t="s" s="5">
        <v>48</v>
      </c>
      <c r="C2" t="s" s="5">
        <v>49</v>
      </c>
      <c r="D2" t="s" s="5">
        <v>22</v>
      </c>
      <c r="E2" t="s" s="5">
        <v>23</v>
      </c>
      <c r="F2" t="s" s="5">
        <v>50</v>
      </c>
      <c r="G2" t="s" s="5">
        <v>51</v>
      </c>
      <c r="H2" t="s" s="5">
        <v>25</v>
      </c>
      <c r="I2" t="s" s="5">
        <v>26</v>
      </c>
      <c r="J2" t="s" s="5">
        <v>34</v>
      </c>
    </row>
    <row r="3" ht="20.25" customHeight="1">
      <c r="A3" s="23">
        <v>2019</v>
      </c>
      <c r="B3" s="24">
        <v>1380</v>
      </c>
      <c r="C3" s="25">
        <v>26989</v>
      </c>
      <c r="D3" s="25">
        <f>C3-B3</f>
        <v>25609</v>
      </c>
      <c r="E3" s="25">
        <f>'Cashflow '!C3</f>
        <v>319</v>
      </c>
      <c r="F3" s="25">
        <v>17364</v>
      </c>
      <c r="G3" s="25">
        <f>C3-F3</f>
        <v>9625</v>
      </c>
      <c r="H3" s="25">
        <f>F3+G3-B3-D3</f>
        <v>0</v>
      </c>
      <c r="I3" s="25">
        <f>B3-F3</f>
        <v>-15984</v>
      </c>
      <c r="J3" s="25"/>
    </row>
    <row r="4" ht="20.05" customHeight="1">
      <c r="A4" s="27"/>
      <c r="B4" s="13">
        <v>1176</v>
      </c>
      <c r="C4" s="14">
        <v>26880</v>
      </c>
      <c r="D4" s="14">
        <f>C4-B4</f>
        <v>25704</v>
      </c>
      <c r="E4" s="14">
        <f>E3+'Cashflow '!C4</f>
        <v>933</v>
      </c>
      <c r="F4" s="14">
        <v>17356</v>
      </c>
      <c r="G4" s="14">
        <f>C4-F4</f>
        <v>9524</v>
      </c>
      <c r="H4" s="14">
        <f>F4+G4-B4-D4</f>
        <v>0</v>
      </c>
      <c r="I4" s="14">
        <f>B4-F4</f>
        <v>-16180</v>
      </c>
      <c r="J4" s="14"/>
    </row>
    <row r="5" ht="20.05" customHeight="1">
      <c r="A5" s="27"/>
      <c r="B5" s="13">
        <v>1571</v>
      </c>
      <c r="C5" s="14">
        <v>26789</v>
      </c>
      <c r="D5" s="14">
        <f>C5-B5</f>
        <v>25218</v>
      </c>
      <c r="E5" s="14">
        <f>E4+'Cashflow '!C5</f>
        <v>1409</v>
      </c>
      <c r="F5" s="14">
        <v>17027</v>
      </c>
      <c r="G5" s="14">
        <f>C5-F5</f>
        <v>9762</v>
      </c>
      <c r="H5" s="14">
        <f>F5+G5-B5-D5</f>
        <v>0</v>
      </c>
      <c r="I5" s="14">
        <f>B5-F5</f>
        <v>-15456</v>
      </c>
      <c r="J5" s="14"/>
    </row>
    <row r="6" ht="20.05" customHeight="1">
      <c r="A6" s="27"/>
      <c r="B6" s="13">
        <v>2268</v>
      </c>
      <c r="C6" s="14">
        <v>25377</v>
      </c>
      <c r="D6" s="14">
        <f>C6-B6</f>
        <v>23109</v>
      </c>
      <c r="E6" s="14">
        <f>E5+'Cashflow '!C6</f>
        <v>3735</v>
      </c>
      <c r="F6" s="14">
        <v>17352</v>
      </c>
      <c r="G6" s="14">
        <f>C6-F6</f>
        <v>8025</v>
      </c>
      <c r="H6" s="14">
        <f>F6+G6-B6-D6</f>
        <v>0</v>
      </c>
      <c r="I6" s="14">
        <f>B6-F6</f>
        <v>-15084</v>
      </c>
      <c r="J6" s="14"/>
    </row>
    <row r="7" ht="20.05" customHeight="1">
      <c r="A7" s="28">
        <v>2020</v>
      </c>
      <c r="B7" s="13">
        <v>1385</v>
      </c>
      <c r="C7" s="14">
        <v>23622</v>
      </c>
      <c r="D7" s="14">
        <f>C7-B7</f>
        <v>22237</v>
      </c>
      <c r="E7" s="14">
        <f>E6+'Cashflow '!C7</f>
        <v>5175</v>
      </c>
      <c r="F7" s="14">
        <v>16779</v>
      </c>
      <c r="G7" s="14">
        <f>C7-F7</f>
        <v>6843</v>
      </c>
      <c r="H7" s="14">
        <f>F7+G7-B7-D7</f>
        <v>0</v>
      </c>
      <c r="I7" s="14">
        <f>B7-F7</f>
        <v>-15394</v>
      </c>
      <c r="J7" s="14"/>
    </row>
    <row r="8" ht="20.05" customHeight="1">
      <c r="A8" s="27"/>
      <c r="B8" s="13">
        <v>1811</v>
      </c>
      <c r="C8" s="14">
        <v>21104</v>
      </c>
      <c r="D8" s="14">
        <f>C8-B8</f>
        <v>19293</v>
      </c>
      <c r="E8" s="14">
        <f>E7+'Cashflow '!C8</f>
        <v>6958</v>
      </c>
      <c r="F8" s="14">
        <v>15908</v>
      </c>
      <c r="G8" s="14">
        <f>C8-F8</f>
        <v>5196</v>
      </c>
      <c r="H8" s="14">
        <f>F8+G8-B8-D8</f>
        <v>0</v>
      </c>
      <c r="I8" s="14">
        <f>B8-F8</f>
        <v>-14097</v>
      </c>
      <c r="J8" s="14"/>
    </row>
    <row r="9" ht="20.05" customHeight="1">
      <c r="A9" s="27"/>
      <c r="B9" s="13">
        <v>2115</v>
      </c>
      <c r="C9" s="14">
        <v>20874</v>
      </c>
      <c r="D9" s="14">
        <f>C9-B9</f>
        <v>18759</v>
      </c>
      <c r="E9" s="14">
        <f>E8+'Cashflow '!C9</f>
        <v>7217</v>
      </c>
      <c r="F9" s="14">
        <v>15671</v>
      </c>
      <c r="G9" s="14">
        <f>C9-F9</f>
        <v>5203</v>
      </c>
      <c r="H9" s="14">
        <f>F9+G9-B9-D9</f>
        <v>0</v>
      </c>
      <c r="I9" s="14">
        <f>B9-F9</f>
        <v>-13556</v>
      </c>
      <c r="J9" s="14"/>
    </row>
    <row r="10" ht="20.05" customHeight="1">
      <c r="A10" s="27"/>
      <c r="B10" s="13">
        <v>2563</v>
      </c>
      <c r="C10" s="14">
        <v>20680</v>
      </c>
      <c r="D10" s="14">
        <f>C10-B10</f>
        <v>18117</v>
      </c>
      <c r="E10" s="14">
        <f>E9+'Cashflow '!C10</f>
        <v>7758</v>
      </c>
      <c r="F10" s="14">
        <v>15697</v>
      </c>
      <c r="G10" s="14">
        <f>C10-F10</f>
        <v>4983</v>
      </c>
      <c r="H10" s="14">
        <f>F10+G10-B10-D10</f>
        <v>0</v>
      </c>
      <c r="I10" s="14">
        <f>B10-F10</f>
        <v>-13134</v>
      </c>
      <c r="J10" s="14"/>
    </row>
    <row r="11" ht="20.05" customHeight="1">
      <c r="A11" s="28">
        <v>2021</v>
      </c>
      <c r="B11" s="13">
        <v>2446</v>
      </c>
      <c r="C11" s="14">
        <v>20575</v>
      </c>
      <c r="D11" s="14">
        <f>C11-B11</f>
        <v>18129</v>
      </c>
      <c r="E11" s="14">
        <f>E10+'Cashflow '!C11</f>
        <v>7731</v>
      </c>
      <c r="F11" s="14">
        <v>15396</v>
      </c>
      <c r="G11" s="14">
        <f>C11-F11</f>
        <v>5179</v>
      </c>
      <c r="H11" s="14">
        <f>F11+G11-B11-D11</f>
        <v>0</v>
      </c>
      <c r="I11" s="14">
        <f>B11-F11</f>
        <v>-12950</v>
      </c>
      <c r="J11" s="14"/>
    </row>
    <row r="12" ht="20.05" customHeight="1">
      <c r="A12" s="27"/>
      <c r="B12" s="13">
        <v>2658</v>
      </c>
      <c r="C12" s="14">
        <v>20917</v>
      </c>
      <c r="D12" s="14">
        <f>C12-B12</f>
        <v>18259</v>
      </c>
      <c r="E12" s="14">
        <f>E11+'Cashflow '!C12</f>
        <v>7958</v>
      </c>
      <c r="F12" s="14">
        <v>15488</v>
      </c>
      <c r="G12" s="14">
        <f>C12-F12</f>
        <v>5429</v>
      </c>
      <c r="H12" s="14">
        <f>F12+G12-B12-D12</f>
        <v>0</v>
      </c>
      <c r="I12" s="14">
        <f>B12-F12</f>
        <v>-12830</v>
      </c>
      <c r="J12" s="14"/>
    </row>
    <row r="13" ht="20.05" customHeight="1">
      <c r="A13" s="27"/>
      <c r="B13" s="13">
        <v>2632</v>
      </c>
      <c r="C13" s="14">
        <v>21025</v>
      </c>
      <c r="D13" s="14">
        <f>C13-B13</f>
        <v>18393</v>
      </c>
      <c r="E13" s="14">
        <f>E12+'Cashflow '!C13</f>
        <v>8265</v>
      </c>
      <c r="F13" s="14">
        <v>15332</v>
      </c>
      <c r="G13" s="14">
        <f>C13-F13</f>
        <v>5693</v>
      </c>
      <c r="H13" s="14">
        <f>F13+G13-B13-D13</f>
        <v>0</v>
      </c>
      <c r="I13" s="14">
        <f>B13-F13</f>
        <v>-12700</v>
      </c>
      <c r="J13" s="14"/>
    </row>
    <row r="14" ht="20.05" customHeight="1">
      <c r="A14" s="27"/>
      <c r="B14" s="13">
        <v>3044</v>
      </c>
      <c r="C14" s="14">
        <v>22321</v>
      </c>
      <c r="D14" s="14">
        <f>C14-B14</f>
        <v>19277</v>
      </c>
      <c r="E14" s="14">
        <f>E13+'Cashflow '!C14</f>
        <v>7916</v>
      </c>
      <c r="F14" s="14">
        <v>15593</v>
      </c>
      <c r="G14" s="14">
        <f>C14-F14</f>
        <v>6728</v>
      </c>
      <c r="H14" s="14">
        <f>F14+G14-B14-D14</f>
        <v>0</v>
      </c>
      <c r="I14" s="14">
        <f>B14-F14</f>
        <v>-12549</v>
      </c>
      <c r="J14" s="14"/>
    </row>
    <row r="15" ht="20.05" customHeight="1">
      <c r="A15" s="28">
        <v>2022</v>
      </c>
      <c r="B15" s="13">
        <v>2154</v>
      </c>
      <c r="C15" s="14">
        <v>22073</v>
      </c>
      <c r="D15" s="14">
        <f>C15-B15</f>
        <v>19919</v>
      </c>
      <c r="E15" s="14">
        <f>E14+'Cashflow '!C15</f>
        <v>8170</v>
      </c>
      <c r="F15" s="14">
        <f>C15-G15</f>
        <v>15040</v>
      </c>
      <c r="G15" s="14">
        <v>7033</v>
      </c>
      <c r="H15" s="14">
        <f>F15+G15-B15-D15</f>
        <v>0</v>
      </c>
      <c r="I15" s="14">
        <f>B15-F15</f>
        <v>-12886</v>
      </c>
      <c r="J15" s="14">
        <v>-11523.3491524173</v>
      </c>
    </row>
    <row r="16" ht="20.05" customHeight="1">
      <c r="A16" s="27"/>
      <c r="B16" s="13"/>
      <c r="C16" s="14"/>
      <c r="D16" s="14"/>
      <c r="E16" s="14"/>
      <c r="F16" s="14"/>
      <c r="G16" s="14"/>
      <c r="H16" s="14"/>
      <c r="I16" s="14"/>
      <c r="J16" s="14">
        <f>'Model'!E30</f>
        <v>-11654.5880402577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1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3" width="10.5312" style="32" customWidth="1"/>
    <col min="4" max="16384" width="16.3516" style="32" customWidth="1"/>
  </cols>
  <sheetData>
    <row r="1" ht="27.65" customHeight="1">
      <c r="A1" t="s" s="2">
        <v>52</v>
      </c>
      <c r="B1" s="2"/>
      <c r="C1" s="2"/>
    </row>
    <row r="2" ht="20.25" customHeight="1">
      <c r="A2" t="s" s="3">
        <v>53</v>
      </c>
      <c r="B2" t="s" s="3">
        <v>54</v>
      </c>
      <c r="C2" t="s" s="3">
        <v>37</v>
      </c>
    </row>
    <row r="3" ht="20.25" customHeight="1">
      <c r="A3" s="23">
        <v>2019</v>
      </c>
      <c r="B3" s="33">
        <v>29.3</v>
      </c>
      <c r="C3" s="34"/>
    </row>
    <row r="4" ht="20.05" customHeight="1">
      <c r="A4" s="27"/>
      <c r="B4" s="35">
        <v>22.74</v>
      </c>
      <c r="C4" s="36"/>
    </row>
    <row r="5" ht="20.05" customHeight="1">
      <c r="A5" s="27"/>
      <c r="B5" s="35">
        <v>18.85</v>
      </c>
      <c r="C5" s="36"/>
    </row>
    <row r="6" ht="20.05" customHeight="1">
      <c r="A6" s="27"/>
      <c r="B6" s="35">
        <v>24.47</v>
      </c>
      <c r="C6" s="36"/>
    </row>
    <row r="7" ht="20.05" customHeight="1">
      <c r="A7" s="28">
        <v>2020</v>
      </c>
      <c r="B7" s="35">
        <v>6.85</v>
      </c>
      <c r="C7" s="36"/>
    </row>
    <row r="8" ht="20.05" customHeight="1">
      <c r="A8" s="27"/>
      <c r="B8" s="35">
        <v>12.98</v>
      </c>
      <c r="C8" s="36"/>
    </row>
    <row r="9" ht="20.05" customHeight="1">
      <c r="A9" s="27"/>
      <c r="B9" s="35">
        <v>12.05</v>
      </c>
      <c r="C9" s="36"/>
    </row>
    <row r="10" ht="20.05" customHeight="1">
      <c r="A10" s="27"/>
      <c r="B10" s="35">
        <v>18.9</v>
      </c>
      <c r="C10" s="36"/>
    </row>
    <row r="11" ht="20.05" customHeight="1">
      <c r="A11" s="28">
        <v>2021</v>
      </c>
      <c r="B11" s="35">
        <v>21.46</v>
      </c>
      <c r="C11" s="36"/>
    </row>
    <row r="12" ht="20.05" customHeight="1">
      <c r="A12" s="27"/>
      <c r="B12" s="35">
        <v>23.12</v>
      </c>
      <c r="C12" s="36"/>
    </row>
    <row r="13" ht="20.05" customHeight="1">
      <c r="A13" s="27"/>
      <c r="B13" s="35">
        <v>21.62</v>
      </c>
      <c r="C13" s="36"/>
    </row>
    <row r="14" ht="20.05" customHeight="1">
      <c r="A14" s="27"/>
      <c r="B14" s="35">
        <v>22.87</v>
      </c>
      <c r="C14" s="36"/>
    </row>
    <row r="15" ht="20.05" customHeight="1">
      <c r="A15" s="28">
        <v>2022</v>
      </c>
      <c r="B15" s="35">
        <v>37.87</v>
      </c>
      <c r="C15" s="36"/>
    </row>
    <row r="16" ht="20.05" customHeight="1">
      <c r="A16" s="27"/>
      <c r="B16" s="35">
        <v>31.69</v>
      </c>
      <c r="C16" s="14">
        <v>41.2927386366268</v>
      </c>
    </row>
    <row r="17" ht="20.05" customHeight="1">
      <c r="A17" s="27"/>
      <c r="B17" s="35"/>
      <c r="C17" s="14">
        <f>'Model'!E43</f>
        <v>40.7268329979274</v>
      </c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