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<sst xmlns="http://schemas.openxmlformats.org/spreadsheetml/2006/main" uniqueCount="57">
  <si>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</si>
  <si>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</si>
  <si>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</si>
  <si>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</si>
  <si>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</si>
  <si>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</si>
  <si>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</si>
  <si>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</si>
  <si>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</si>
  <si>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</si>
  <si>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</si>
  <si>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</si>
  <si>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</si>
  <si>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</si>
  <si>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</si>
  <si>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</si>
  <si>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</si>
  <si>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</si>
  <si>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</si>
  <si>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</si>
  <si>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</si>
  <si>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</si>
  <si>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</si>
  <si>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</si>
  <si>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</si>
  <si>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</si>
  <si>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</si>
  <si>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</si>
  <si>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</si>
  <si>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</si>
  <si>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>Capital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</si>
  <si>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</si>
  <si>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</si>
  <si>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</si>
  <si>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</si>
  <si>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</si>
  <si>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</si>
  <si>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</si>
  <si>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</si>
  <si>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</si>
  <si>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</si>
  <si>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</si>
  <si>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Profit </t>
  </si>
  <si>
    <t xml:space="preserve">Sales growth </t>
  </si>
  <si>
    <t xml:space="preserve">Cost ratio </t>
  </si>
  <si>
    <t>Receipts</t>
  </si>
  <si>
    <t>Leases</t>
  </si>
  <si>
    <t>Investment</t>
  </si>
  <si>
    <t>Finance</t>
  </si>
  <si>
    <t xml:space="preserve">Free Cashflow </t>
  </si>
  <si>
    <t xml:space="preserve">Cashflow </t>
  </si>
  <si>
    <t>Cash</t>
  </si>
  <si>
    <t xml:space="preserve">Assets </t>
  </si>
  <si>
    <t>Check</t>
  </si>
  <si>
    <t>Share price</t>
  </si>
  <si>
    <t>GOTO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</si>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</sst>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"/>
    <numFmt numFmtId="60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8" applyNumberFormat="0" applyFont="1" applyFill="1" applyBorder="1" applyAlignment="1" applyProtection="0">
      <alignment vertical="top" wrapText="1"/>
    </xf>
    <xf numFmtId="0" fontId="2" fillId="4" borderId="9" applyNumberFormat="1" applyFont="1" applyFill="1" applyBorder="1" applyAlignment="1" applyProtection="0">
      <alignment vertical="top" wrapText="1"/>
    </xf>
    <xf numFmtId="3" fontId="0" borderId="10" applyNumberFormat="1" applyFont="1" applyFill="0" applyBorder="1" applyAlignment="1" applyProtection="0">
      <alignment vertical="top" wrapText="1"/>
    </xf>
    <xf numFmtId="0" fontId="2" fillId="4" borderId="9" applyNumberFormat="0" applyFont="1" applyFill="1" applyBorder="1" applyAlignment="1" applyProtection="0">
      <alignment vertical="top" wrapText="1"/>
    </xf>
    <xf numFmtId="3" fontId="0" borderId="11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1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c6c6c6"/>
      <rgbColor rgb="ff86868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430411</xdr:colOff>
      <xdr:row>1</xdr:row>
      <xdr:rowOff>309774</xdr:rowOff>
    </xdr:from>
    <xdr:to>
      <xdr:col>13</xdr:col>
      <xdr:colOff>271685</xdr:colOff>
      <xdr:row>46</xdr:row>
      <xdr:rowOff>154231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16711" y="815234"/>
          <a:ext cx="8553475" cy="114046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9844" style="1" customWidth="1"/>
    <col min="2" max="2" width="15.6172" style="1" customWidth="1"/>
    <col min="3" max="6" width="10.0078" style="1" customWidth="1"/>
    <col min="7" max="16384" width="16.3516" style="1" customWidth="1"/>
  </cols>
  <sheetData>
    <row r="1" ht="39.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('Cashflow'!C11/'Cashflow'!C7-1)/4</f>
        <v>0.372544321993292</v>
      </c>
      <c r="D4" s="8"/>
      <c r="E4" s="8"/>
      <c r="F4" s="9">
        <f>AVERAGE(C5:F5)</f>
        <v>0.14</v>
      </c>
    </row>
    <row r="5" ht="20.05" customHeight="1">
      <c r="B5" t="s" s="10">
        <v>4</v>
      </c>
      <c r="C5" s="11">
        <v>0.14</v>
      </c>
      <c r="D5" s="12">
        <f>C5</f>
        <v>0.14</v>
      </c>
      <c r="E5" s="12">
        <f>D5</f>
        <v>0.14</v>
      </c>
      <c r="F5" s="12">
        <f>E5</f>
        <v>0.14</v>
      </c>
    </row>
    <row r="6" ht="20.05" customHeight="1">
      <c r="B6" t="s" s="10">
        <v>5</v>
      </c>
      <c r="C6" s="13">
        <f>'Cashflow'!C11*(1+C5)</f>
        <v>5924.58</v>
      </c>
      <c r="D6" s="14">
        <f>C6*(1+D5)</f>
        <v>6754.0212</v>
      </c>
      <c r="E6" s="14">
        <f>D6*(1+E5)</f>
        <v>7699.584168</v>
      </c>
      <c r="F6" s="14">
        <f>E6*(1+F5)</f>
        <v>8777.52595152</v>
      </c>
    </row>
    <row r="7" ht="20.05" customHeight="1">
      <c r="B7" t="s" s="10">
        <v>6</v>
      </c>
      <c r="C7" s="11">
        <f>C8/C6</f>
        <v>-1.24050987580554</v>
      </c>
      <c r="D7" s="12">
        <f>D8/D6</f>
        <v>-1.08816655772416</v>
      </c>
      <c r="E7" s="12">
        <f>E8/E6</f>
        <v>-0.954532068179088</v>
      </c>
      <c r="F7" s="12">
        <f>F8/F6</f>
        <v>-0.837308831736042</v>
      </c>
    </row>
    <row r="8" ht="20.05" customHeight="1">
      <c r="B8" t="s" s="10">
        <v>7</v>
      </c>
      <c r="C8" s="15">
        <f>'Sales'!F12+'Sales'!E12-'Sales'!C12</f>
        <v>-7349.5</v>
      </c>
      <c r="D8" s="16">
        <f>C8</f>
        <v>-7349.5</v>
      </c>
      <c r="E8" s="16">
        <f>D8</f>
        <v>-7349.5</v>
      </c>
      <c r="F8" s="16">
        <f>E8</f>
        <v>-7349.5</v>
      </c>
    </row>
    <row r="9" ht="20.05" customHeight="1">
      <c r="B9" t="s" s="10">
        <v>8</v>
      </c>
      <c r="C9" s="15">
        <f>C6+C8</f>
        <v>-1424.92</v>
      </c>
      <c r="D9" s="16">
        <f>D6+D8</f>
        <v>-595.4788</v>
      </c>
      <c r="E9" s="16">
        <f>E6+E8</f>
        <v>350.084168</v>
      </c>
      <c r="F9" s="16">
        <f>F6+F8</f>
        <v>1428.02595152</v>
      </c>
    </row>
    <row r="10" ht="20.05" customHeight="1">
      <c r="B10" t="s" s="10">
        <v>9</v>
      </c>
      <c r="C10" s="15">
        <f>AVERAGE('Cashflow'!F11)</f>
        <v>-878.6</v>
      </c>
      <c r="D10" s="16">
        <f>C10</f>
        <v>-878.6</v>
      </c>
      <c r="E10" s="16">
        <f>D10</f>
        <v>-878.6</v>
      </c>
      <c r="F10" s="16">
        <f>E10</f>
        <v>-878.6</v>
      </c>
    </row>
    <row r="11" ht="20.05" customHeight="1">
      <c r="B11" t="s" s="10">
        <v>10</v>
      </c>
      <c r="C11" s="15">
        <f>C12+C15+C13</f>
        <v>2303.52</v>
      </c>
      <c r="D11" s="16">
        <f>D12+D15+D13</f>
        <v>1474.0788</v>
      </c>
      <c r="E11" s="16">
        <f>E12+E15+E13</f>
        <v>528.515832</v>
      </c>
      <c r="F11" s="16">
        <f>F12+F15+F13</f>
        <v>-549.42595152</v>
      </c>
    </row>
    <row r="12" ht="20.05" customHeight="1">
      <c r="B12" t="s" s="10">
        <v>11</v>
      </c>
      <c r="C12" s="15">
        <f>-('Balance sheet'!G8)/20</f>
        <v>-830.75</v>
      </c>
      <c r="D12" s="16">
        <f>-C27/20</f>
        <v>-789.2125</v>
      </c>
      <c r="E12" s="16">
        <f>-D27/20</f>
        <v>-749.751875</v>
      </c>
      <c r="F12" s="16">
        <f>-E27/20</f>
        <v>-712.26428125</v>
      </c>
    </row>
    <row r="13" ht="20.05" customHeight="1">
      <c r="B13" t="s" s="10">
        <v>12</v>
      </c>
      <c r="C13" s="15">
        <f>-MIN(0,C16)</f>
        <v>3134.27</v>
      </c>
      <c r="D13" s="16">
        <f>-MIN(C28,D16)</f>
        <v>2263.2913</v>
      </c>
      <c r="E13" s="16">
        <f>-MIN(D28,E16)</f>
        <v>1278.267707</v>
      </c>
      <c r="F13" s="16">
        <f>-MIN(E28,F16)</f>
        <v>162.83832973</v>
      </c>
    </row>
    <row r="14" ht="20.05" customHeight="1">
      <c r="B14" t="s" s="10">
        <v>13</v>
      </c>
      <c r="C14" s="17">
        <v>0</v>
      </c>
      <c r="D14" s="16"/>
      <c r="E14" s="16"/>
      <c r="F14" s="16"/>
    </row>
    <row r="15" ht="20.05" customHeight="1">
      <c r="B15" t="s" s="10">
        <v>14</v>
      </c>
      <c r="C15" s="15">
        <f>IF(C22&gt;0,-C22*$C$14,0)</f>
        <v>0</v>
      </c>
      <c r="D15" s="16">
        <f>IF(D22&gt;0,-D22*$C$14,0)</f>
        <v>0</v>
      </c>
      <c r="E15" s="16">
        <f>IF(E22&gt;0,-E22*$C$14,0)</f>
        <v>0</v>
      </c>
      <c r="F15" s="16">
        <f>IF(F22&gt;0,-F22*$C$14,0)</f>
        <v>0</v>
      </c>
    </row>
    <row r="16" ht="20.05" customHeight="1">
      <c r="B16" t="s" s="10">
        <v>15</v>
      </c>
      <c r="C16" s="15">
        <f>C9+C10+C12+C15</f>
        <v>-3134.27</v>
      </c>
      <c r="D16" s="16">
        <f>D9+D10+D12+D15</f>
        <v>-2263.2913</v>
      </c>
      <c r="E16" s="16">
        <f>E9+E10+E12+E15</f>
        <v>-1278.267707</v>
      </c>
      <c r="F16" s="16">
        <f>F9+F10+F12+F15</f>
        <v>-162.83832973</v>
      </c>
    </row>
    <row r="17" ht="20.05" customHeight="1">
      <c r="B17" t="s" s="10">
        <v>16</v>
      </c>
      <c r="C17" s="15">
        <f>'Balance sheet'!C8</f>
        <v>27073</v>
      </c>
      <c r="D17" s="16">
        <f>C19</f>
        <v>27073</v>
      </c>
      <c r="E17" s="16">
        <f>D19</f>
        <v>27073</v>
      </c>
      <c r="F17" s="16">
        <f>E19</f>
        <v>27073</v>
      </c>
    </row>
    <row r="18" ht="20.05" customHeight="1">
      <c r="B18" t="s" s="10">
        <v>17</v>
      </c>
      <c r="C18" s="15">
        <f>C9+C10+C11</f>
        <v>0</v>
      </c>
      <c r="D18" s="16">
        <f>D9+D10+D11</f>
        <v>0</v>
      </c>
      <c r="E18" s="16">
        <f>E9+E10+E11</f>
        <v>0</v>
      </c>
      <c r="F18" s="16">
        <f>F9+F10+F11</f>
        <v>0</v>
      </c>
    </row>
    <row r="19" ht="20.05" customHeight="1">
      <c r="B19" t="s" s="10">
        <v>18</v>
      </c>
      <c r="C19" s="15">
        <f>C17+C18</f>
        <v>27073</v>
      </c>
      <c r="D19" s="16">
        <f>D17+D18</f>
        <v>27073</v>
      </c>
      <c r="E19" s="16">
        <f>E17+E18</f>
        <v>27073</v>
      </c>
      <c r="F19" s="16">
        <f>F17+F18</f>
        <v>27073</v>
      </c>
    </row>
    <row r="20" ht="20.05" customHeight="1">
      <c r="B20" t="s" s="18">
        <v>19</v>
      </c>
      <c r="C20" s="15"/>
      <c r="D20" s="16"/>
      <c r="E20" s="16"/>
      <c r="F20" s="19"/>
    </row>
    <row r="21" ht="20.05" customHeight="1">
      <c r="B21" t="s" s="10">
        <v>20</v>
      </c>
      <c r="C21" s="15">
        <f>-AVERAGE('Sales'!E12)</f>
        <v>-761.5</v>
      </c>
      <c r="D21" s="16">
        <f>C21</f>
        <v>-761.5</v>
      </c>
      <c r="E21" s="16">
        <f>D21</f>
        <v>-761.5</v>
      </c>
      <c r="F21" s="16">
        <f>E21</f>
        <v>-761.5</v>
      </c>
    </row>
    <row r="22" ht="20.05" customHeight="1">
      <c r="B22" t="s" s="10">
        <v>21</v>
      </c>
      <c r="C22" s="15">
        <f>C6+C8+C21</f>
        <v>-2186.42</v>
      </c>
      <c r="D22" s="16">
        <f>D6+D8+D21</f>
        <v>-1356.9788</v>
      </c>
      <c r="E22" s="16">
        <f>E6+E8+E21</f>
        <v>-411.415832</v>
      </c>
      <c r="F22" s="16">
        <f>F6+F8+F21</f>
        <v>666.52595152</v>
      </c>
    </row>
    <row r="23" ht="20.05" customHeight="1">
      <c r="B23" t="s" s="18">
        <v>22</v>
      </c>
      <c r="C23" s="15"/>
      <c r="D23" s="16"/>
      <c r="E23" s="16"/>
      <c r="F23" s="16"/>
    </row>
    <row r="24" ht="20.05" customHeight="1">
      <c r="B24" t="s" s="10">
        <v>23</v>
      </c>
      <c r="C24" s="15">
        <f>'Balance sheet'!E8+'Balance sheet'!F8-C10</f>
        <v>129369.1</v>
      </c>
      <c r="D24" s="16">
        <f>C24-D10</f>
        <v>130247.7</v>
      </c>
      <c r="E24" s="16">
        <f>D24-E10</f>
        <v>131126.3</v>
      </c>
      <c r="F24" s="16">
        <f>E24-F10</f>
        <v>132004.9</v>
      </c>
    </row>
    <row r="25" ht="20.05" customHeight="1">
      <c r="B25" t="s" s="10">
        <v>24</v>
      </c>
      <c r="C25" s="15">
        <f>'Balance sheet'!F8-C21</f>
        <v>5187</v>
      </c>
      <c r="D25" s="16">
        <f>C25-D21</f>
        <v>5948.5</v>
      </c>
      <c r="E25" s="16">
        <f>D25-E21</f>
        <v>6710</v>
      </c>
      <c r="F25" s="16">
        <f>E25-F21</f>
        <v>7471.5</v>
      </c>
    </row>
    <row r="26" ht="20.05" customHeight="1">
      <c r="B26" t="s" s="10">
        <v>25</v>
      </c>
      <c r="C26" s="15">
        <f>C24-C25</f>
        <v>124182.1</v>
      </c>
      <c r="D26" s="16">
        <f>D24-D25</f>
        <v>124299.2</v>
      </c>
      <c r="E26" s="16">
        <f>E24-E25</f>
        <v>124416.3</v>
      </c>
      <c r="F26" s="16">
        <f>F24-F25</f>
        <v>124533.4</v>
      </c>
    </row>
    <row r="27" ht="20.05" customHeight="1">
      <c r="B27" t="s" s="10">
        <v>11</v>
      </c>
      <c r="C27" s="15">
        <f>'Balance sheet'!G8+C12</f>
        <v>15784.25</v>
      </c>
      <c r="D27" s="16">
        <f>C27+D12</f>
        <v>14995.0375</v>
      </c>
      <c r="E27" s="16">
        <f>D27+E12</f>
        <v>14245.285625</v>
      </c>
      <c r="F27" s="16">
        <f>E27+F12</f>
        <v>13533.02134375</v>
      </c>
    </row>
    <row r="28" ht="20.05" customHeight="1">
      <c r="B28" t="s" s="10">
        <v>12</v>
      </c>
      <c r="C28" s="15">
        <f>C13</f>
        <v>3134.27</v>
      </c>
      <c r="D28" s="16">
        <f>C28+D13</f>
        <v>5397.5613</v>
      </c>
      <c r="E28" s="16">
        <f>D28+E13</f>
        <v>6675.829007</v>
      </c>
      <c r="F28" s="16">
        <f>E28+F13</f>
        <v>6838.66733673</v>
      </c>
    </row>
    <row r="29" ht="20.05" customHeight="1">
      <c r="B29" t="s" s="10">
        <v>26</v>
      </c>
      <c r="C29" s="15">
        <f>'Balance sheet'!H8+C22+C15</f>
        <v>132336.58</v>
      </c>
      <c r="D29" s="16">
        <f>C29+D22+D15</f>
        <v>130979.6012</v>
      </c>
      <c r="E29" s="16">
        <f>D29+E22+E15</f>
        <v>130568.185368</v>
      </c>
      <c r="F29" s="16">
        <f>E29+F22+F15</f>
        <v>131234.71131952</v>
      </c>
    </row>
    <row r="30" ht="20.05" customHeight="1">
      <c r="B30" t="s" s="10">
        <v>27</v>
      </c>
      <c r="C30" s="15">
        <f>C27+C28+C29-C19-C26</f>
        <v>0</v>
      </c>
      <c r="D30" s="16">
        <f>D27+D28+D29-D19-D26</f>
        <v>0</v>
      </c>
      <c r="E30" s="16">
        <f>E27+E28+E29-E19-E26</f>
        <v>0</v>
      </c>
      <c r="F30" s="16">
        <f>F27+F28+F29-F19-F26</f>
        <v>0</v>
      </c>
    </row>
    <row r="31" ht="20.05" customHeight="1">
      <c r="B31" t="s" s="10">
        <v>28</v>
      </c>
      <c r="C31" s="15">
        <f>C19-C27-C28</f>
        <v>8154.48</v>
      </c>
      <c r="D31" s="16">
        <f>D19-D27-D28</f>
        <v>6680.4012</v>
      </c>
      <c r="E31" s="16">
        <f>E19-E27-E28</f>
        <v>6151.885368</v>
      </c>
      <c r="F31" s="16">
        <f>F19-F27-F28</f>
        <v>6701.31131952</v>
      </c>
    </row>
    <row r="32" ht="20.05" customHeight="1">
      <c r="B32" t="s" s="10">
        <v>29</v>
      </c>
      <c r="C32" s="15"/>
      <c r="D32" s="16"/>
      <c r="E32" s="16"/>
      <c r="F32" s="16"/>
    </row>
    <row r="33" ht="20.05" customHeight="1">
      <c r="B33" t="s" s="10">
        <v>30</v>
      </c>
      <c r="C33" s="15">
        <f>'Cashflow'!M11-(C11)</f>
        <v>-192009.819999999</v>
      </c>
      <c r="D33" s="16">
        <f>C33-D11</f>
        <v>-193483.898799999</v>
      </c>
      <c r="E33" s="16">
        <f>D33-E11</f>
        <v>-194012.414631999</v>
      </c>
      <c r="F33" s="16">
        <f>E33-F11</f>
        <v>-193462.988680479</v>
      </c>
    </row>
    <row r="34" ht="20.05" customHeight="1">
      <c r="B34" t="s" s="10">
        <v>31</v>
      </c>
      <c r="C34" s="15"/>
      <c r="D34" s="16"/>
      <c r="E34" s="16"/>
      <c r="F34" s="16">
        <v>457162962763776</v>
      </c>
    </row>
    <row r="35" ht="20.05" customHeight="1">
      <c r="B35" t="s" s="10">
        <v>31</v>
      </c>
      <c r="C35" s="15"/>
      <c r="D35" s="16"/>
      <c r="E35" s="16"/>
      <c r="F35" s="16">
        <f>F34/1000000000</f>
        <v>457162.962763776</v>
      </c>
    </row>
    <row r="36" ht="20.05" customHeight="1">
      <c r="B36" t="s" s="10">
        <v>32</v>
      </c>
      <c r="C36" s="15"/>
      <c r="D36" s="16"/>
      <c r="E36" s="16"/>
      <c r="F36" s="20">
        <f>F35/(F19+F26)</f>
        <v>3.01545952389725</v>
      </c>
    </row>
    <row r="37" ht="20.05" customHeight="1">
      <c r="B37" t="s" s="10">
        <v>33</v>
      </c>
      <c r="C37" s="15"/>
      <c r="D37" s="16"/>
      <c r="E37" s="16"/>
      <c r="F37" s="21">
        <f>-(C15+D15+E15+F15)/F35</f>
        <v>0</v>
      </c>
    </row>
    <row r="38" ht="20.05" customHeight="1">
      <c r="B38" t="s" s="10">
        <v>5</v>
      </c>
      <c r="C38" s="15"/>
      <c r="D38" s="16"/>
      <c r="E38" s="16"/>
      <c r="F38" s="16">
        <f>SUM($F9:$F10)*4</f>
        <v>2197.70380608</v>
      </c>
    </row>
    <row r="39" ht="20.05" customHeight="1">
      <c r="B39" t="s" s="10">
        <v>34</v>
      </c>
      <c r="C39" s="15"/>
      <c r="D39" s="16"/>
      <c r="E39" s="16"/>
      <c r="F39" s="16">
        <f>'Balance sheet'!E8/F38</f>
        <v>56.4521022609012</v>
      </c>
    </row>
    <row r="40" ht="20.05" customHeight="1">
      <c r="B40" t="s" s="10">
        <v>29</v>
      </c>
      <c r="C40" s="15"/>
      <c r="D40" s="16"/>
      <c r="E40" s="16"/>
      <c r="F40" s="16">
        <f>F35/F38</f>
        <v>208.018460676559</v>
      </c>
    </row>
    <row r="41" ht="20.05" customHeight="1">
      <c r="B41" t="s" s="10">
        <v>35</v>
      </c>
      <c r="C41" s="15"/>
      <c r="D41" s="16"/>
      <c r="E41" s="16"/>
      <c r="F41" s="16">
        <v>200</v>
      </c>
    </row>
    <row r="42" ht="20.05" customHeight="1">
      <c r="B42" t="s" s="10">
        <v>36</v>
      </c>
      <c r="C42" s="15"/>
      <c r="D42" s="14"/>
      <c r="E42" s="14"/>
      <c r="F42" s="16">
        <f>F38*F41</f>
        <v>439540.761216</v>
      </c>
    </row>
    <row r="43" ht="20.05" customHeight="1">
      <c r="B43" t="s" s="10">
        <v>37</v>
      </c>
      <c r="C43" s="15"/>
      <c r="D43" s="14"/>
      <c r="E43" s="14"/>
      <c r="F43" s="16">
        <f>F35/F45</f>
        <v>1184.360007160040</v>
      </c>
    </row>
    <row r="44" ht="20.05" customHeight="1">
      <c r="B44" t="s" s="10">
        <v>38</v>
      </c>
      <c r="C44" s="15"/>
      <c r="D44" s="14"/>
      <c r="E44" s="14"/>
      <c r="F44" s="16">
        <f>F42/F43</f>
        <v>371.120907966125</v>
      </c>
    </row>
    <row r="45" ht="20.05" customHeight="1">
      <c r="B45" t="s" s="10">
        <v>39</v>
      </c>
      <c r="C45" s="15"/>
      <c r="D45" s="14"/>
      <c r="E45" s="14"/>
      <c r="F45" s="16">
        <v>386</v>
      </c>
    </row>
    <row r="46" ht="20.05" customHeight="1">
      <c r="B46" t="s" s="10">
        <v>40</v>
      </c>
      <c r="C46" s="22"/>
      <c r="D46" s="14"/>
      <c r="E46" s="14"/>
      <c r="F46" s="21">
        <f>F44/F45-1</f>
        <v>-0.0385468705540803</v>
      </c>
    </row>
    <row r="47" ht="20.05" customHeight="1">
      <c r="B47" t="s" s="10">
        <v>41</v>
      </c>
      <c r="C47" s="22"/>
      <c r="D47" s="14"/>
      <c r="E47" s="14"/>
      <c r="F47" s="21">
        <f>'Cashflow'!C11/'Cashflow'!C7-1</f>
        <v>1.49017728797317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1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46875" style="23" customWidth="1"/>
    <col min="2" max="2" width="7.95312" style="23" customWidth="1"/>
    <col min="3" max="10" width="9.89844" style="23" customWidth="1"/>
    <col min="11" max="16384" width="16.3516" style="23" customWidth="1"/>
  </cols>
  <sheetData>
    <row r="1" ht="26.8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35</v>
      </c>
      <c r="E3" t="s" s="5">
        <v>24</v>
      </c>
      <c r="F3" t="s" s="5">
        <v>42</v>
      </c>
      <c r="G3" t="s" s="5">
        <v>43</v>
      </c>
      <c r="H3" t="s" s="5">
        <v>44</v>
      </c>
      <c r="I3" t="s" s="5">
        <v>44</v>
      </c>
      <c r="J3" t="s" s="5">
        <v>35</v>
      </c>
    </row>
    <row r="4" ht="20.25" customHeight="1">
      <c r="B4" s="24">
        <v>2020</v>
      </c>
      <c r="C4" s="25">
        <v>832</v>
      </c>
      <c r="D4" s="26"/>
      <c r="E4" s="26">
        <v>311.75</v>
      </c>
      <c r="F4" s="26">
        <v>-1045.9375</v>
      </c>
      <c r="G4" s="9"/>
      <c r="H4" s="9">
        <f>('Cashflow'!D6+'Cashflow'!E6-'Cashflow'!C6)/'Cashflow'!C6</f>
        <v>-1.88248674130819</v>
      </c>
      <c r="I4" s="9">
        <f>AVERAGE(H4:H4)</f>
        <v>-1.88248674130819</v>
      </c>
      <c r="J4" s="9"/>
    </row>
    <row r="5" ht="20.05" customHeight="1">
      <c r="B5" s="27"/>
      <c r="C5" s="15">
        <v>832</v>
      </c>
      <c r="D5" s="16"/>
      <c r="E5" s="16">
        <v>311.75</v>
      </c>
      <c r="F5" s="16">
        <v>-1045.9375</v>
      </c>
      <c r="G5" s="12">
        <f>C5/C4-1</f>
        <v>0</v>
      </c>
      <c r="H5" s="12">
        <f>H4</f>
        <v>-1.88248674130819</v>
      </c>
      <c r="I5" s="12">
        <f>AVERAGE(H5:H5)</f>
        <v>-1.88248674130819</v>
      </c>
      <c r="J5" s="12"/>
    </row>
    <row r="6" ht="20.05" customHeight="1">
      <c r="B6" s="27"/>
      <c r="C6" s="15">
        <v>832</v>
      </c>
      <c r="D6" s="16"/>
      <c r="E6" s="16">
        <v>311.75</v>
      </c>
      <c r="F6" s="16">
        <v>-1045.9375</v>
      </c>
      <c r="G6" s="12">
        <f>C6/C4-1</f>
        <v>0</v>
      </c>
      <c r="H6" s="12">
        <f>H5</f>
        <v>-1.88248674130819</v>
      </c>
      <c r="I6" s="12">
        <f>AVERAGE(H6:H6)</f>
        <v>-1.88248674130819</v>
      </c>
      <c r="J6" s="12"/>
    </row>
    <row r="7" ht="20.05" customHeight="1">
      <c r="B7" s="27"/>
      <c r="C7" s="15">
        <v>832</v>
      </c>
      <c r="D7" s="16"/>
      <c r="E7" s="16">
        <v>311.75</v>
      </c>
      <c r="F7" s="16">
        <v>-1045.9375</v>
      </c>
      <c r="G7" s="12">
        <f>C7/C4-1</f>
        <v>0</v>
      </c>
      <c r="H7" s="12">
        <f>H6</f>
        <v>-1.88248674130819</v>
      </c>
      <c r="I7" s="12">
        <f>AVERAGE(H7:H7)</f>
        <v>-1.88248674130819</v>
      </c>
      <c r="J7" s="12"/>
    </row>
    <row r="8" ht="20.05" customHeight="1">
      <c r="B8" s="28">
        <v>2021</v>
      </c>
      <c r="C8" s="15">
        <v>904.8</v>
      </c>
      <c r="D8" s="16"/>
      <c r="E8" s="16">
        <v>604.25</v>
      </c>
      <c r="F8" s="16">
        <v>-1957.5</v>
      </c>
      <c r="G8" s="12">
        <f>C8/C4-1</f>
        <v>0.08749999999999999</v>
      </c>
      <c r="H8" s="12">
        <f>('Cashflow'!D7+'Cashflow'!E7-'Cashflow'!C7)/'Cashflow'!C7</f>
        <v>-1.58663152850982</v>
      </c>
      <c r="I8" s="12">
        <f>AVERAGE(H4:H8)</f>
        <v>-1.82331569874852</v>
      </c>
      <c r="J8" s="12"/>
    </row>
    <row r="9" ht="20.05" customHeight="1">
      <c r="B9" s="27"/>
      <c r="C9" s="15">
        <v>1210.4</v>
      </c>
      <c r="D9" s="16"/>
      <c r="E9" s="16">
        <v>604.25</v>
      </c>
      <c r="F9" s="16">
        <v>-6823.833333333330</v>
      </c>
      <c r="G9" s="12">
        <f>C9/C8-1</f>
        <v>0.337754199823165</v>
      </c>
      <c r="H9" s="12">
        <f>('Cashflow'!D8+'Cashflow'!E8-'Cashflow'!C8)/'Cashflow'!C8</f>
        <v>-2.02232429606393</v>
      </c>
      <c r="I9" s="12">
        <f>AVERAGE(H4:H9)</f>
        <v>-1.85648379830109</v>
      </c>
      <c r="J9" s="12"/>
    </row>
    <row r="10" ht="20.05" customHeight="1">
      <c r="B10" s="27"/>
      <c r="C10" s="15">
        <v>1210.4</v>
      </c>
      <c r="D10" s="16"/>
      <c r="E10" s="16">
        <v>604.25</v>
      </c>
      <c r="F10" s="16">
        <v>-6823.833333333330</v>
      </c>
      <c r="G10" s="12">
        <f>C10/C9-1</f>
        <v>0</v>
      </c>
      <c r="H10" s="12">
        <f>('Cashflow'!D9+'Cashflow'!E9-'Cashflow'!C9)/'Cashflow'!C9</f>
        <v>-2.02232429606393</v>
      </c>
      <c r="I10" s="12">
        <f>AVERAGE(H4:H10)</f>
        <v>-1.88017529798149</v>
      </c>
      <c r="J10" s="12"/>
    </row>
    <row r="11" ht="20.05" customHeight="1">
      <c r="B11" s="27"/>
      <c r="C11" s="15">
        <v>1210.4</v>
      </c>
      <c r="D11" s="16"/>
      <c r="E11" s="16">
        <v>604.25</v>
      </c>
      <c r="F11" s="16">
        <v>-6823.833333333330</v>
      </c>
      <c r="G11" s="12">
        <f>C11/C10-1</f>
        <v>0</v>
      </c>
      <c r="H11" s="12">
        <f>('Cashflow'!D10+'Cashflow'!E10-'Cashflow'!C10)/'Cashflow'!C10</f>
        <v>-2.02232429606393</v>
      </c>
      <c r="I11" s="12">
        <f>AVERAGE(H8:H11)</f>
        <v>-1.9134011041754</v>
      </c>
      <c r="J11" s="12"/>
    </row>
    <row r="12" ht="20.05" customHeight="1">
      <c r="B12" s="28">
        <v>2022</v>
      </c>
      <c r="C12" s="15">
        <v>1497</v>
      </c>
      <c r="D12" s="16"/>
      <c r="E12" s="16">
        <v>761.5</v>
      </c>
      <c r="F12" s="16">
        <v>-6614</v>
      </c>
      <c r="G12" s="12">
        <f>C12/C11-1</f>
        <v>0.236781229345671</v>
      </c>
      <c r="H12" s="12">
        <f>('Cashflow'!D11+'Cashflow'!E11-'Cashflow'!C11)/'Cashflow'!C11</f>
        <v>-1.64883586684626</v>
      </c>
      <c r="I12" s="12">
        <f>AVERAGE(H9:H12)</f>
        <v>-1.92895218875951</v>
      </c>
      <c r="J12" s="12">
        <f>I12</f>
        <v>-1.92895218875951</v>
      </c>
    </row>
    <row r="13" ht="20.05" customHeight="1">
      <c r="B13" s="27"/>
      <c r="C13" s="15"/>
      <c r="D13" s="16">
        <f>'Model'!C6</f>
        <v>5924.58</v>
      </c>
      <c r="E13" s="16"/>
      <c r="F13" s="16"/>
      <c r="G13" s="12"/>
      <c r="H13" s="19"/>
      <c r="I13" s="19"/>
      <c r="J13" s="12">
        <f>'Model'!F7</f>
        <v>-0.837308831736042</v>
      </c>
    </row>
    <row r="14" ht="20.05" customHeight="1">
      <c r="B14" s="27"/>
      <c r="C14" s="15"/>
      <c r="D14" s="16">
        <f>'Model'!D6</f>
        <v>6754.0212</v>
      </c>
      <c r="E14" s="16"/>
      <c r="F14" s="16"/>
      <c r="G14" s="12"/>
      <c r="H14" s="12"/>
      <c r="I14" s="12"/>
      <c r="J14" s="12"/>
    </row>
    <row r="15" ht="20.05" customHeight="1">
      <c r="B15" s="27"/>
      <c r="C15" s="15"/>
      <c r="D15" s="16">
        <f>'Model'!E6</f>
        <v>7699.584168</v>
      </c>
      <c r="E15" s="16"/>
      <c r="F15" s="16"/>
      <c r="G15" s="12"/>
      <c r="H15" s="12"/>
      <c r="I15" s="12"/>
      <c r="J15" s="12"/>
    </row>
    <row r="16" ht="20.05" customHeight="1">
      <c r="B16" s="28">
        <v>2023</v>
      </c>
      <c r="C16" s="15"/>
      <c r="D16" s="16">
        <f>'Model'!F6</f>
        <v>8777.52595152</v>
      </c>
      <c r="E16" s="16"/>
      <c r="F16" s="16"/>
      <c r="G16" s="12"/>
      <c r="H16" s="12"/>
      <c r="I16" s="12"/>
      <c r="J16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1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6406" style="29" customWidth="1"/>
    <col min="2" max="2" width="8.39844" style="29" customWidth="1"/>
    <col min="3" max="16" width="10.0312" style="29" customWidth="1"/>
    <col min="17" max="16384" width="16.3516" style="29" customWidth="1"/>
  </cols>
  <sheetData>
    <row r="1" ht="40.9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45</v>
      </c>
      <c r="D3" t="s" s="5">
        <v>8</v>
      </c>
      <c r="E3" t="s" s="5">
        <v>46</v>
      </c>
      <c r="F3" t="s" s="5">
        <v>47</v>
      </c>
      <c r="G3" t="s" s="5">
        <v>11</v>
      </c>
      <c r="H3" t="s" s="5">
        <v>26</v>
      </c>
      <c r="I3" t="s" s="5">
        <v>48</v>
      </c>
      <c r="J3" t="s" s="5">
        <v>49</v>
      </c>
      <c r="K3" t="s" s="5">
        <v>50</v>
      </c>
      <c r="L3" t="s" s="5">
        <v>35</v>
      </c>
      <c r="M3" t="s" s="5">
        <v>30</v>
      </c>
      <c r="N3" t="s" s="5">
        <v>35</v>
      </c>
      <c r="O3" s="30"/>
      <c r="P3" s="30"/>
    </row>
    <row r="4" ht="20.25" customHeight="1">
      <c r="B4" s="24">
        <v>2018</v>
      </c>
      <c r="C4" s="25">
        <v>4481</v>
      </c>
      <c r="D4" s="26">
        <v>-10648.3</v>
      </c>
      <c r="E4" s="26"/>
      <c r="F4" s="26">
        <v>-11693</v>
      </c>
      <c r="G4" s="26">
        <v>183</v>
      </c>
      <c r="H4" s="26">
        <f>I4-G4</f>
        <v>20543.3</v>
      </c>
      <c r="I4" s="26">
        <v>20726.3</v>
      </c>
      <c r="J4" s="26">
        <f>D4+F4</f>
        <v>-22341.3</v>
      </c>
      <c r="K4" s="26">
        <f>AVERAGE(J4:J4)</f>
        <v>-22341.3</v>
      </c>
      <c r="L4" s="8"/>
      <c r="M4" s="26">
        <f>-(G4+H4)</f>
        <v>-20726.3</v>
      </c>
      <c r="N4" s="8"/>
      <c r="O4" s="31">
        <f>4</f>
        <v>4</v>
      </c>
      <c r="P4" s="31">
        <f>D4+E4+F4+G4+H4</f>
        <v>-1615</v>
      </c>
    </row>
    <row r="5" ht="20.05" customHeight="1">
      <c r="B5" s="28">
        <v>2019</v>
      </c>
      <c r="C5" s="15">
        <v>8643</v>
      </c>
      <c r="D5" s="16">
        <v>-19031.8</v>
      </c>
      <c r="E5" s="16"/>
      <c r="F5" s="16">
        <v>-3857.1</v>
      </c>
      <c r="G5" s="16">
        <f>1056.5-2.3</f>
        <v>1054.2</v>
      </c>
      <c r="H5" s="16">
        <f>I5-G5</f>
        <v>22269.8</v>
      </c>
      <c r="I5" s="16">
        <v>23324</v>
      </c>
      <c r="J5" s="16">
        <f>D5+F5</f>
        <v>-22888.9</v>
      </c>
      <c r="K5" s="16">
        <f>AVERAGE(J4:J5)</f>
        <v>-22615.1</v>
      </c>
      <c r="L5" s="19"/>
      <c r="M5" s="16">
        <f>-(G5+H5)+M4</f>
        <v>-44050.3</v>
      </c>
      <c r="N5" s="19"/>
      <c r="O5" s="32">
        <f>4+O4</f>
        <v>8</v>
      </c>
      <c r="P5" s="32">
        <f>D5+E5+F5+G5+H5</f>
        <v>435.1</v>
      </c>
    </row>
    <row r="6" ht="20.05" customHeight="1">
      <c r="B6" s="28">
        <v>2020</v>
      </c>
      <c r="C6" s="15">
        <v>8485</v>
      </c>
      <c r="D6" s="16">
        <v>-7361.1</v>
      </c>
      <c r="E6" s="16">
        <v>-126.8</v>
      </c>
      <c r="F6" s="16">
        <v>-5305.3</v>
      </c>
      <c r="G6" s="16">
        <f>4073.6-2783.2</f>
        <v>1290.4</v>
      </c>
      <c r="H6" s="16">
        <f>I6-G6-E6</f>
        <v>22623.5</v>
      </c>
      <c r="I6" s="16">
        <v>23787.1</v>
      </c>
      <c r="J6" s="16">
        <f>D6+F6</f>
        <v>-12666.4</v>
      </c>
      <c r="K6" s="16">
        <f>AVERAGE(J4:J6)</f>
        <v>-19298.8666666667</v>
      </c>
      <c r="L6" s="19"/>
      <c r="M6" s="16">
        <f>-(G6+H6)+M5</f>
        <v>-67964.2</v>
      </c>
      <c r="N6" s="19"/>
      <c r="O6" s="32">
        <f>4+O5</f>
        <v>12</v>
      </c>
      <c r="P6" s="32">
        <f>D6+E6+F6+G6+H6</f>
        <v>11120.7</v>
      </c>
    </row>
    <row r="7" ht="20.05" customHeight="1">
      <c r="B7" s="28">
        <v>2021</v>
      </c>
      <c r="C7" s="15">
        <v>2087</v>
      </c>
      <c r="D7" s="16">
        <v>-1224.3</v>
      </c>
      <c r="E7" s="16">
        <v>0</v>
      </c>
      <c r="F7" s="16">
        <v>-2073.3</v>
      </c>
      <c r="G7" s="16">
        <f>705.2-10.2</f>
        <v>695</v>
      </c>
      <c r="H7" s="16">
        <f>I7-G7-E7</f>
        <v>-146.7</v>
      </c>
      <c r="I7" s="32">
        <v>548.3</v>
      </c>
      <c r="J7" s="16">
        <f>D7+F7</f>
        <v>-3297.6</v>
      </c>
      <c r="K7" s="16">
        <f>AVERAGE(J4:J7)</f>
        <v>-15298.55</v>
      </c>
      <c r="L7" s="19"/>
      <c r="M7" s="16">
        <f>-(G7+H7)+M6</f>
        <v>-68512.5</v>
      </c>
      <c r="N7" s="19"/>
      <c r="O7" s="32">
        <f>1+O6</f>
        <v>13</v>
      </c>
      <c r="P7" s="32">
        <f>D7+E7+F7+G7+H7</f>
        <v>-2749.3</v>
      </c>
    </row>
    <row r="8" ht="20.05" customHeight="1">
      <c r="B8" s="27"/>
      <c r="C8" s="15">
        <v>4463</v>
      </c>
      <c r="D8" s="16">
        <v>-4489.033333333330</v>
      </c>
      <c r="E8" s="16">
        <v>-73.59999999999999</v>
      </c>
      <c r="F8" s="16">
        <v>-29725.8333333333</v>
      </c>
      <c r="G8" s="16">
        <v>-717.333333333333</v>
      </c>
      <c r="H8" s="16">
        <f>I8-G8-E8</f>
        <v>41118.3666666666</v>
      </c>
      <c r="I8" s="16">
        <v>40327.4333333333</v>
      </c>
      <c r="J8" s="16">
        <f>D8+F8</f>
        <v>-34214.8666666666</v>
      </c>
      <c r="K8" s="16">
        <f>AVERAGE(J5:J8)</f>
        <v>-18266.9416666667</v>
      </c>
      <c r="L8" s="19"/>
      <c r="M8" s="16">
        <f>-(G8+H8)+M7</f>
        <v>-108913.533333333</v>
      </c>
      <c r="N8" s="19"/>
      <c r="O8" s="32">
        <f>1+O7</f>
        <v>14</v>
      </c>
      <c r="P8" s="32">
        <f>D8+E8+F8+G8+H8</f>
        <v>6112.566666666640</v>
      </c>
    </row>
    <row r="9" ht="20.05" customHeight="1">
      <c r="B9" s="27"/>
      <c r="C9" s="15">
        <v>4463</v>
      </c>
      <c r="D9" s="16">
        <v>-4489.033333333330</v>
      </c>
      <c r="E9" s="16">
        <v>-73.59999999999999</v>
      </c>
      <c r="F9" s="16">
        <v>-29725.8333333333</v>
      </c>
      <c r="G9" s="16">
        <v>-717.333333333333</v>
      </c>
      <c r="H9" s="16">
        <f>I9-G9-E9</f>
        <v>41118.3666666666</v>
      </c>
      <c r="I9" s="16">
        <v>40327.4333333333</v>
      </c>
      <c r="J9" s="16">
        <f>D9+F9</f>
        <v>-34214.8666666666</v>
      </c>
      <c r="K9" s="16">
        <f>AVERAGE(J5:J9)</f>
        <v>-21456.5266666666</v>
      </c>
      <c r="L9" s="19"/>
      <c r="M9" s="16">
        <f>-(G9+H9)+M8</f>
        <v>-149314.566666666</v>
      </c>
      <c r="N9" s="19"/>
      <c r="O9" s="32">
        <f>1+O8</f>
        <v>15</v>
      </c>
      <c r="P9" s="32">
        <f>D9+E9+F9+G9+H9</f>
        <v>6112.566666666640</v>
      </c>
    </row>
    <row r="10" ht="20.05" customHeight="1">
      <c r="B10" s="27"/>
      <c r="C10" s="15">
        <v>4463</v>
      </c>
      <c r="D10" s="16">
        <v>-4489.033333333330</v>
      </c>
      <c r="E10" s="16">
        <v>-73.59999999999999</v>
      </c>
      <c r="F10" s="16">
        <v>-29725.8333333333</v>
      </c>
      <c r="G10" s="16">
        <v>-717.333333333333</v>
      </c>
      <c r="H10" s="16">
        <f>I10-G10-E10</f>
        <v>41118.3666666666</v>
      </c>
      <c r="I10" s="16">
        <v>40327.4333333333</v>
      </c>
      <c r="J10" s="16">
        <f>D10+F10</f>
        <v>-34214.8666666666</v>
      </c>
      <c r="K10" s="16">
        <f>AVERAGE(J5:J10)</f>
        <v>-23582.9166666666</v>
      </c>
      <c r="L10" s="19"/>
      <c r="M10" s="16">
        <f>-(G10+H10)+M9</f>
        <v>-189715.599999999</v>
      </c>
      <c r="N10" s="19"/>
      <c r="O10" s="32">
        <f>1+O9</f>
        <v>16</v>
      </c>
      <c r="P10" s="32">
        <f>D10+E10+F10+G10+H10</f>
        <v>6112.566666666640</v>
      </c>
    </row>
    <row r="11" ht="20.05" customHeight="1">
      <c r="B11" s="28">
        <v>2022</v>
      </c>
      <c r="C11" s="15">
        <v>5197</v>
      </c>
      <c r="D11" s="16">
        <v>-3340.5</v>
      </c>
      <c r="E11" s="16">
        <v>-31.5</v>
      </c>
      <c r="F11" s="16">
        <v>-878.6</v>
      </c>
      <c r="G11" s="16">
        <v>-9.300000000000001</v>
      </c>
      <c r="H11" s="16">
        <f>I11-G11-E11</f>
        <v>0</v>
      </c>
      <c r="I11" s="16">
        <v>-40.8</v>
      </c>
      <c r="J11" s="16">
        <f>D11+F11</f>
        <v>-4219.1</v>
      </c>
      <c r="K11" s="16">
        <f>AVERAGE(J5:J11)</f>
        <v>-20816.6571428571</v>
      </c>
      <c r="L11" s="16">
        <f>K11</f>
        <v>-20816.6571428571</v>
      </c>
      <c r="M11" s="16">
        <f>-(G11+H11)+M10</f>
        <v>-189706.299999999</v>
      </c>
      <c r="N11" s="16">
        <f>M11</f>
        <v>-189706.299999999</v>
      </c>
      <c r="O11" s="32">
        <f>1+O10</f>
        <v>17</v>
      </c>
      <c r="P11" s="32">
        <f>D11+E11+F11+G11+H11</f>
        <v>-4259.9</v>
      </c>
    </row>
    <row r="12" ht="20.05" customHeight="1">
      <c r="B12" s="27"/>
      <c r="C12" s="15"/>
      <c r="D12" s="16"/>
      <c r="E12" s="16"/>
      <c r="F12" s="16"/>
      <c r="G12" s="16"/>
      <c r="H12" s="16"/>
      <c r="I12" s="16"/>
      <c r="J12" s="19"/>
      <c r="K12" s="19"/>
      <c r="L12" s="16">
        <f>SUM('Model'!F9:F10)</f>
        <v>549.42595152</v>
      </c>
      <c r="M12" s="19"/>
      <c r="N12" s="16">
        <f>'Model'!F33</f>
        <v>-193462.988680479</v>
      </c>
      <c r="O12" s="19"/>
      <c r="P12" s="19"/>
    </row>
    <row r="13" ht="20.05" customHeight="1">
      <c r="B13" s="27"/>
      <c r="C13" s="15"/>
      <c r="D13" s="16"/>
      <c r="E13" s="16"/>
      <c r="F13" s="16"/>
      <c r="G13" s="16"/>
      <c r="H13" s="16"/>
      <c r="I13" s="16"/>
      <c r="J13" s="19"/>
      <c r="K13" s="19"/>
      <c r="L13" s="19"/>
      <c r="M13" s="19"/>
      <c r="N13" s="19"/>
      <c r="O13" s="19"/>
      <c r="P13" s="19"/>
    </row>
    <row r="14" ht="20.05" customHeight="1">
      <c r="B14" s="27"/>
      <c r="C14" s="15"/>
      <c r="D14" s="16"/>
      <c r="E14" s="16"/>
      <c r="F14" s="16"/>
      <c r="G14" s="16"/>
      <c r="H14" s="16"/>
      <c r="I14" s="16"/>
      <c r="J14" s="19"/>
      <c r="K14" s="19"/>
      <c r="L14" s="19"/>
      <c r="M14" s="19"/>
      <c r="N14" s="19"/>
      <c r="O14" s="19"/>
      <c r="P14" s="19"/>
    </row>
    <row r="15" ht="20.05" customHeight="1">
      <c r="B15" s="28">
        <v>2023</v>
      </c>
      <c r="C15" s="15"/>
      <c r="D15" s="16"/>
      <c r="E15" s="16"/>
      <c r="F15" s="16"/>
      <c r="G15" s="16"/>
      <c r="H15" s="16"/>
      <c r="I15" s="16"/>
      <c r="J15" s="19"/>
      <c r="K15" s="19"/>
      <c r="L15" s="19"/>
      <c r="M15" s="19"/>
      <c r="N15" s="19"/>
      <c r="O15" s="19"/>
      <c r="P15" s="19"/>
    </row>
  </sheetData>
  <mergeCells count="1">
    <mergeCell ref="B2:P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4219" style="33" customWidth="1"/>
    <col min="2" max="2" width="7.75" style="33" customWidth="1"/>
    <col min="3" max="11" width="8.90625" style="33" customWidth="1"/>
    <col min="12" max="16384" width="16.3516" style="33" customWidth="1"/>
  </cols>
  <sheetData>
    <row r="1" ht="28.2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51</v>
      </c>
      <c r="D3" t="s" s="5">
        <v>52</v>
      </c>
      <c r="E3" t="s" s="5">
        <v>23</v>
      </c>
      <c r="F3" t="s" s="5">
        <v>24</v>
      </c>
      <c r="G3" t="s" s="5">
        <v>11</v>
      </c>
      <c r="H3" t="s" s="5">
        <v>26</v>
      </c>
      <c r="I3" t="s" s="5">
        <v>53</v>
      </c>
      <c r="J3" t="s" s="5">
        <v>28</v>
      </c>
      <c r="K3" t="s" s="5">
        <v>35</v>
      </c>
    </row>
    <row r="4" ht="20.25" customHeight="1">
      <c r="B4" s="24">
        <v>2018</v>
      </c>
      <c r="C4" s="25">
        <v>5806</v>
      </c>
      <c r="D4" s="26">
        <v>20570</v>
      </c>
      <c r="E4" s="26">
        <f>D4-C4</f>
        <v>14764</v>
      </c>
      <c r="F4" s="26"/>
      <c r="G4" s="26">
        <v>4150</v>
      </c>
      <c r="H4" s="26">
        <f>D4-G4</f>
        <v>16420</v>
      </c>
      <c r="I4" s="26">
        <f>G4+H4-C4-E4</f>
        <v>0</v>
      </c>
      <c r="J4" s="26">
        <f>C4-G4</f>
        <v>1656</v>
      </c>
      <c r="K4" s="26"/>
    </row>
    <row r="5" ht="20.05" customHeight="1">
      <c r="B5" s="28">
        <v>2019</v>
      </c>
      <c r="C5" s="15">
        <v>6104</v>
      </c>
      <c r="D5" s="16">
        <v>21393</v>
      </c>
      <c r="E5" s="16">
        <f>D5-C5</f>
        <v>15289</v>
      </c>
      <c r="F5" s="16"/>
      <c r="G5" s="16">
        <v>6529</v>
      </c>
      <c r="H5" s="16">
        <f>D5-G5</f>
        <v>14864</v>
      </c>
      <c r="I5" s="16">
        <f>G5+H5-C5-E5</f>
        <v>0</v>
      </c>
      <c r="J5" s="16">
        <f>C5-G5</f>
        <v>-425</v>
      </c>
      <c r="K5" s="16"/>
    </row>
    <row r="6" ht="20.05" customHeight="1">
      <c r="B6" s="28">
        <v>2020</v>
      </c>
      <c r="C6" s="15">
        <v>15319</v>
      </c>
      <c r="D6" s="16">
        <v>30109</v>
      </c>
      <c r="E6" s="16">
        <f>D6-C6</f>
        <v>14790</v>
      </c>
      <c r="F6" s="16"/>
      <c r="G6" s="16">
        <v>9309</v>
      </c>
      <c r="H6" s="16">
        <f>D6-G6</f>
        <v>20800</v>
      </c>
      <c r="I6" s="16">
        <f>G6+H6-C6-E6</f>
        <v>0</v>
      </c>
      <c r="J6" s="16">
        <f>C6-G6</f>
        <v>6010</v>
      </c>
      <c r="K6" s="16"/>
    </row>
    <row r="7" ht="20.05" customHeight="1">
      <c r="B7" s="28">
        <v>2021</v>
      </c>
      <c r="C7" s="15">
        <v>31152</v>
      </c>
      <c r="D7" s="16">
        <v>155137</v>
      </c>
      <c r="E7" s="16">
        <f>D7-C7</f>
        <v>123985</v>
      </c>
      <c r="F7" s="16"/>
      <c r="G7" s="16">
        <v>16113</v>
      </c>
      <c r="H7" s="16">
        <f>D7-G7</f>
        <v>139024</v>
      </c>
      <c r="I7" s="16">
        <f>G7+H7-C7-E7</f>
        <v>0</v>
      </c>
      <c r="J7" s="16">
        <f>C7-G7</f>
        <v>15039</v>
      </c>
      <c r="K7" s="16"/>
    </row>
    <row r="8" ht="20.05" customHeight="1">
      <c r="B8" s="28">
        <v>2022</v>
      </c>
      <c r="C8" s="15">
        <v>27073</v>
      </c>
      <c r="D8" s="16">
        <v>151138</v>
      </c>
      <c r="E8" s="16">
        <f>D8-C8</f>
        <v>124065</v>
      </c>
      <c r="F8" s="16">
        <f>SUM('Sales'!E4:E12)</f>
        <v>4425.5</v>
      </c>
      <c r="G8" s="16">
        <v>16615</v>
      </c>
      <c r="H8" s="16">
        <f>D8-G8</f>
        <v>134523</v>
      </c>
      <c r="I8" s="16">
        <f>G8+H8-C8-E8</f>
        <v>0</v>
      </c>
      <c r="J8" s="16">
        <f>C8-G8</f>
        <v>10458</v>
      </c>
      <c r="K8" s="16">
        <f>J8</f>
        <v>10458</v>
      </c>
    </row>
    <row r="9" ht="20.05" customHeight="1">
      <c r="B9" s="27"/>
      <c r="C9" s="15"/>
      <c r="D9" s="16"/>
      <c r="E9" s="16"/>
      <c r="F9" s="16"/>
      <c r="G9" s="16"/>
      <c r="H9" s="16"/>
      <c r="I9" s="16"/>
      <c r="J9" s="16"/>
      <c r="K9" s="16">
        <f>'Model'!F31</f>
        <v>6701.31131952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1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3281" style="34" customWidth="1"/>
    <col min="2" max="2" width="7.78125" style="34" customWidth="1"/>
    <col min="3" max="3" width="8.10156" style="34" customWidth="1"/>
    <col min="4" max="4" width="10.0625" style="34" customWidth="1"/>
    <col min="5" max="16384" width="16.3516" style="34" customWidth="1"/>
  </cols>
  <sheetData>
    <row r="1" ht="52" customHeight="1"/>
    <row r="2" ht="27.65" customHeight="1">
      <c r="B2" t="s" s="2">
        <v>54</v>
      </c>
      <c r="C2" s="2"/>
      <c r="D2" s="2"/>
    </row>
    <row r="3" ht="20.25" customHeight="1">
      <c r="B3" s="35"/>
      <c r="C3" t="s" s="3">
        <v>55</v>
      </c>
      <c r="D3" t="s" s="3">
        <v>56</v>
      </c>
    </row>
    <row r="4" ht="20.25" customHeight="1">
      <c r="B4" s="36">
        <v>2019</v>
      </c>
      <c r="C4" s="37"/>
      <c r="D4" s="8"/>
    </row>
    <row r="5" ht="20.05" customHeight="1">
      <c r="B5" s="38"/>
      <c r="C5" s="39"/>
      <c r="D5" s="19"/>
    </row>
    <row r="6" ht="20.05" customHeight="1">
      <c r="B6" s="38"/>
      <c r="C6" s="39"/>
      <c r="D6" s="40"/>
    </row>
    <row r="7" ht="20.05" customHeight="1">
      <c r="B7" s="38"/>
      <c r="C7" s="39"/>
      <c r="D7" s="40"/>
    </row>
    <row r="8" ht="20.05" customHeight="1">
      <c r="B8" s="36">
        <v>2020</v>
      </c>
      <c r="C8" s="39"/>
      <c r="D8" s="40"/>
    </row>
    <row r="9" ht="20.05" customHeight="1">
      <c r="B9" s="38"/>
      <c r="C9" s="41"/>
      <c r="D9" s="19"/>
    </row>
    <row r="10" ht="20.05" customHeight="1">
      <c r="B10" s="38"/>
      <c r="C10" s="41"/>
      <c r="D10" s="19"/>
    </row>
    <row r="11" ht="20.05" customHeight="1">
      <c r="B11" s="38"/>
      <c r="C11" s="41"/>
      <c r="D11" s="19"/>
    </row>
    <row r="12" ht="20.05" customHeight="1">
      <c r="B12" s="36">
        <v>2021</v>
      </c>
      <c r="C12" s="39"/>
      <c r="D12" s="19"/>
    </row>
    <row r="13" ht="20.05" customHeight="1">
      <c r="B13" s="38"/>
      <c r="C13" s="39"/>
      <c r="D13" s="19"/>
    </row>
    <row r="14" ht="20.05" customHeight="1">
      <c r="B14" s="38"/>
      <c r="C14" s="39"/>
      <c r="D14" s="19"/>
    </row>
    <row r="15" ht="20.05" customHeight="1">
      <c r="B15" s="38"/>
      <c r="C15" s="39"/>
      <c r="D15" s="19"/>
    </row>
    <row r="16" ht="20.05" customHeight="1">
      <c r="B16" s="36">
        <v>2022</v>
      </c>
      <c r="C16" s="39">
        <v>394</v>
      </c>
      <c r="D16" s="19"/>
    </row>
    <row r="17" ht="20.05" customHeight="1">
      <c r="B17" s="38"/>
      <c r="C17" s="39">
        <v>386</v>
      </c>
      <c r="D17" s="32">
        <f>C17</f>
        <v>386</v>
      </c>
    </row>
    <row r="18" ht="20.05" customHeight="1">
      <c r="B18" s="38"/>
      <c r="C18" s="39"/>
      <c r="D18" s="32">
        <f>'Model'!F44</f>
        <v>371.120907966125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