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 " sheetId="5" r:id="rId8"/>
  </sheets>
</workbook>
</file>

<file path=xl/sharedStrings.xml><?xml version="1.0" encoding="utf-8"?>
<sst xmlns="http://schemas.openxmlformats.org/spreadsheetml/2006/main" uniqueCount="55">
  <si>
    <t>Financial model</t>
  </si>
  <si>
    <t>$m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</si>
  <si>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</si>
  <si>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</si>
  <si>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</si>
  <si>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</si>
  <si>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</si>
  <si>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</si>
  <si>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</si>
  <si>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</si>
  <si>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</si>
  <si>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</si>
  <si>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</si>
  <si>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</si>
  <si>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</si>
  <si>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</si>
  <si>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</si>
  <si>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</si>
  <si>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</si>
  <si>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</si>
  <si>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</si>
  <si>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>Balance sheet</t>
  </si>
  <si>
    <t>Other assets</t>
  </si>
  <si>
    <t xml:space="preserve">Depreciation </t>
  </si>
  <si>
    <t>Net other assets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</si>
  <si>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</si>
  <si>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</si>
  <si>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</si>
  <si>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</si>
  <si>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</si>
  <si>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</si>
  <si>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</si>
  <si>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</si>
  <si>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</si>
  <si>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</si>
  <si>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</si>
  <si>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</si>
  <si>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</si>
  <si>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</si>
  <si>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</si>
  <si>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</si>
  <si>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Sales growth </t>
  </si>
  <si>
    <t>Cashflow</t>
  </si>
  <si>
    <t>Profit</t>
  </si>
  <si>
    <t xml:space="preserve">Working capital </t>
  </si>
  <si>
    <t xml:space="preserve">Free cashflow </t>
  </si>
  <si>
    <t xml:space="preserve">Cash </t>
  </si>
  <si>
    <t>Assets</t>
  </si>
  <si>
    <t xml:space="preserve">Other assets </t>
  </si>
  <si>
    <t>Check</t>
  </si>
  <si>
    <t>Net cash</t>
  </si>
  <si>
    <t>Share price</t>
  </si>
  <si>
    <t>GOOG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</si>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</sst>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Cumulative working capital </a:t>
            </a:r>
          </a:p>
        </c:rich>
      </c:tx>
      <c:layout>
        <c:manualLayout>
          <c:xMode val="edge"/>
          <c:yMode val="edge"/>
          <c:x val="0.24165"/>
          <c:y val="0"/>
          <c:w val="0.5167"/>
          <c:h val="0.091828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147809"/>
          <c:y val="0.0918283"/>
          <c:w val="0.819129"/>
          <c:h val="0.837628"/>
        </c:manualLayout>
      </c:layout>
      <c:lineChart>
        <c:grouping val="standard"/>
        <c:varyColors val="0"/>
        <c:ser>
          <c:idx val="0"/>
          <c:order val="0"/>
          <c:tx>
            <c:v>Region 1</c:v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17.000000</c:v>
              </c:pt>
              <c:pt idx="1">
                <c:v>26.000000</c:v>
              </c:pt>
              <c:pt idx="2">
                <c:v>53.000000</c:v>
              </c:pt>
              <c:pt idx="3">
                <c:v>96.000000</c:v>
              </c:pt>
            </c:numLit>
          </c:val>
          <c:smooth val="0"/>
        </c:ser>
        <c:ser>
          <c:idx val="1"/>
          <c:order val="1"/>
          <c:tx>
            <c:v>Region 2</c:v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4"/>
              <c:pt idx="0">
                <c:v>April</c:v>
              </c:pt>
              <c:pt idx="1">
                <c:v>May</c:v>
              </c:pt>
              <c:pt idx="2">
                <c:v>June</c:v>
              </c:pt>
              <c:pt idx="3">
                <c:v>July</c:v>
              </c:pt>
            </c:strLit>
          </c:cat>
          <c:val>
            <c:numLit>
              <c:ptCount val="4"/>
              <c:pt idx="0">
                <c:v>55.000000</c:v>
              </c:pt>
              <c:pt idx="1">
                <c:v>43.000000</c:v>
              </c:pt>
              <c:pt idx="2">
                <c:v>70.000000</c:v>
              </c:pt>
              <c:pt idx="3">
                <c:v>58.000000</c:v>
              </c:pt>
            </c:numLit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3.3333"/>
        <c:minorUnit val="16.6667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387491"/>
          <c:y val="0.110009"/>
          <c:w val="0.295092"/>
          <c:h val="0.10979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557561</xdr:colOff>
      <xdr:row>1</xdr:row>
      <xdr:rowOff>233371</xdr:rowOff>
    </xdr:from>
    <xdr:to>
      <xdr:col>13</xdr:col>
      <xdr:colOff>788815</xdr:colOff>
      <xdr:row>49</xdr:row>
      <xdr:rowOff>18158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37461" y="389581"/>
          <a:ext cx="8943455" cy="12106963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151002</xdr:colOff>
      <xdr:row>69</xdr:row>
      <xdr:rowOff>170963</xdr:rowOff>
    </xdr:from>
    <xdr:to>
      <xdr:col>5</xdr:col>
      <xdr:colOff>276606</xdr:colOff>
      <xdr:row>83</xdr:row>
      <xdr:rowOff>143391</xdr:rowOff>
    </xdr:to>
    <xdr:graphicFrame>
      <xdr:nvGraphicFramePr>
        <xdr:cNvPr id="4" name="2D Line Chart"/>
        <xdr:cNvGraphicFramePr/>
      </xdr:nvGraphicFramePr>
      <xdr:xfrm>
        <a:off x="151002" y="17931913"/>
        <a:ext cx="3643504" cy="3510649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39062" style="1" customWidth="1"/>
    <col min="2" max="2" width="14.8281" style="1" customWidth="1"/>
    <col min="3" max="6" width="9" style="1" customWidth="1"/>
    <col min="7" max="16384" width="16.3516" style="1" customWidth="1"/>
  </cols>
  <sheetData>
    <row r="1" ht="12.3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AVERAGE('Sales'!D24:D27)</f>
        <v>0.0576695470352431</v>
      </c>
      <c r="D4" s="8"/>
      <c r="E4" s="8"/>
      <c r="F4" s="9">
        <f>AVERAGE(C5:F5)</f>
        <v>0.03</v>
      </c>
    </row>
    <row r="5" ht="20.05" customHeight="1">
      <c r="B5" t="s" s="10">
        <v>4</v>
      </c>
      <c r="C5" s="11">
        <v>0.04</v>
      </c>
      <c r="D5" s="12">
        <v>0.04</v>
      </c>
      <c r="E5" s="12">
        <v>0.11</v>
      </c>
      <c r="F5" s="12">
        <v>-0.07000000000000001</v>
      </c>
    </row>
    <row r="6" ht="20.05" customHeight="1">
      <c r="B6" t="s" s="10">
        <v>5</v>
      </c>
      <c r="C6" s="13">
        <f>'Sales'!B27*(1+C5)</f>
        <v>70731.44</v>
      </c>
      <c r="D6" s="14">
        <f>C6*(1+D5)</f>
        <v>73560.6976</v>
      </c>
      <c r="E6" s="14">
        <f>D6*(1+E5)</f>
        <v>81652.374335999993</v>
      </c>
      <c r="F6" s="14">
        <f>E6*(1+F5)</f>
        <v>75936.708132479995</v>
      </c>
    </row>
    <row r="7" ht="20.05" customHeight="1">
      <c r="B7" t="s" s="10">
        <v>6</v>
      </c>
      <c r="C7" s="15">
        <f>AVERAGE('Sales'!F27)</f>
        <v>-0.644805379520731</v>
      </c>
      <c r="D7" s="16">
        <f>C7</f>
        <v>-0.644805379520731</v>
      </c>
      <c r="E7" s="16">
        <f>D7</f>
        <v>-0.644805379520731</v>
      </c>
      <c r="F7" s="16">
        <f>E7</f>
        <v>-0.644805379520731</v>
      </c>
    </row>
    <row r="8" ht="20.05" customHeight="1">
      <c r="B8" t="s" s="10">
        <v>7</v>
      </c>
      <c r="C8" s="17">
        <f>C6*C7</f>
        <v>-45608.0130132478</v>
      </c>
      <c r="D8" s="18">
        <f>D6*D7</f>
        <v>-47432.3335337777</v>
      </c>
      <c r="E8" s="18">
        <f>E6*E7</f>
        <v>-52649.8902224933</v>
      </c>
      <c r="F8" s="18">
        <f>F6*F7</f>
        <v>-48964.3979069187</v>
      </c>
    </row>
    <row r="9" ht="20.05" customHeight="1">
      <c r="B9" t="s" s="10">
        <v>8</v>
      </c>
      <c r="C9" s="17">
        <f>C6+C8</f>
        <v>25123.4269867522</v>
      </c>
      <c r="D9" s="18">
        <f>D6+D8</f>
        <v>26128.3640662223</v>
      </c>
      <c r="E9" s="18">
        <f>E6+E8</f>
        <v>29002.4841135067</v>
      </c>
      <c r="F9" s="18">
        <f>F6+F8</f>
        <v>26972.3102255613</v>
      </c>
    </row>
    <row r="10" ht="20.05" customHeight="1">
      <c r="B10" t="s" s="10">
        <v>9</v>
      </c>
      <c r="C10" s="17">
        <f>AVERAGE('Cashflow '!G28)</f>
        <v>-9051</v>
      </c>
      <c r="D10" s="18">
        <f>C10</f>
        <v>-9051</v>
      </c>
      <c r="E10" s="18">
        <f>D10</f>
        <v>-9051</v>
      </c>
      <c r="F10" s="18">
        <f>E10</f>
        <v>-9051</v>
      </c>
    </row>
    <row r="11" ht="20.05" customHeight="1">
      <c r="B11" t="s" s="10">
        <v>10</v>
      </c>
      <c r="C11" s="17">
        <f>C12+C15+C13</f>
        <v>-16072.4269867522</v>
      </c>
      <c r="D11" s="18">
        <f>D12+D15+D13</f>
        <v>-17077.3640662223</v>
      </c>
      <c r="E11" s="18">
        <f>E12+E15+E13</f>
        <v>-19951.4841135067</v>
      </c>
      <c r="F11" s="18">
        <f>F12+F15+F13</f>
        <v>-17921.3102255613</v>
      </c>
    </row>
    <row r="12" ht="20.05" customHeight="1">
      <c r="B12" t="s" s="10">
        <v>11</v>
      </c>
      <c r="C12" s="17">
        <f>-'Balance sheet'!G28/20</f>
        <v>-5154.6</v>
      </c>
      <c r="D12" s="18">
        <f>-C27/20</f>
        <v>-4896.87</v>
      </c>
      <c r="E12" s="18">
        <f>-D27/20</f>
        <v>-4652.0265</v>
      </c>
      <c r="F12" s="18">
        <f>-E27/20</f>
        <v>-4419.425175</v>
      </c>
    </row>
    <row r="13" ht="20.05" customHeight="1">
      <c r="B13" t="s" s="10">
        <v>12</v>
      </c>
      <c r="C13" s="17">
        <f>-MIN(0,C16)</f>
        <v>2762.0469039743</v>
      </c>
      <c r="D13" s="18">
        <f>-MIN(C28,D16)</f>
        <v>2202.8357801333</v>
      </c>
      <c r="E13" s="18">
        <f>-MIN(D28,E16)</f>
        <v>1095.756265948</v>
      </c>
      <c r="F13" s="18">
        <f>-MIN(E28,F16)</f>
        <v>1472.2071073316</v>
      </c>
    </row>
    <row r="14" ht="20.05" customHeight="1">
      <c r="B14" t="s" s="10">
        <v>13</v>
      </c>
      <c r="C14" s="19">
        <v>0.7</v>
      </c>
      <c r="D14" s="18"/>
      <c r="E14" s="18"/>
      <c r="F14" s="18"/>
    </row>
    <row r="15" ht="20.05" customHeight="1">
      <c r="B15" t="s" s="10">
        <v>14</v>
      </c>
      <c r="C15" s="17">
        <f>IF(C22&gt;0,-C22*$C$14,0)</f>
        <v>-13679.8738907265</v>
      </c>
      <c r="D15" s="18">
        <f>IF(D22&gt;0,-D22*$C$14,0)</f>
        <v>-14383.3298463556</v>
      </c>
      <c r="E15" s="18">
        <f>IF(E22&gt;0,-E22*$C$14,0)</f>
        <v>-16395.2138794547</v>
      </c>
      <c r="F15" s="18">
        <f>IF(F22&gt;0,-F22*$C$14,0)</f>
        <v>-14974.0921578929</v>
      </c>
    </row>
    <row r="16" ht="20.05" customHeight="1">
      <c r="B16" t="s" s="10">
        <v>15</v>
      </c>
      <c r="C16" s="17">
        <f>C9+C10+C12+C15</f>
        <v>-2762.0469039743</v>
      </c>
      <c r="D16" s="18">
        <f>D9+D10+D12+D15</f>
        <v>-2202.8357801333</v>
      </c>
      <c r="E16" s="18">
        <f>E9+E10+E12+E15</f>
        <v>-1095.756265948</v>
      </c>
      <c r="F16" s="18">
        <f>F9+F10+F12+F15</f>
        <v>-1472.2071073316</v>
      </c>
    </row>
    <row r="17" ht="20.05" customHeight="1">
      <c r="B17" t="s" s="10">
        <v>16</v>
      </c>
      <c r="C17" s="17">
        <f>'Balance sheet'!C28</f>
        <v>20886</v>
      </c>
      <c r="D17" s="18">
        <f>C19</f>
        <v>20886</v>
      </c>
      <c r="E17" s="18">
        <f>D19</f>
        <v>20886</v>
      </c>
      <c r="F17" s="18">
        <f>E19</f>
        <v>20886</v>
      </c>
    </row>
    <row r="18" ht="20.05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05" customHeight="1">
      <c r="B19" t="s" s="10">
        <v>18</v>
      </c>
      <c r="C19" s="17">
        <f>C17+C18</f>
        <v>20886</v>
      </c>
      <c r="D19" s="18">
        <f>D17+D18</f>
        <v>20886</v>
      </c>
      <c r="E19" s="18">
        <f>E17+E18</f>
        <v>20886</v>
      </c>
      <c r="F19" s="18">
        <f>F17+F18</f>
        <v>20886</v>
      </c>
    </row>
    <row r="20" ht="20.05" customHeight="1">
      <c r="B20" t="s" s="20">
        <v>19</v>
      </c>
      <c r="C20" s="17"/>
      <c r="D20" s="18"/>
      <c r="E20" s="18"/>
      <c r="F20" s="21"/>
    </row>
    <row r="21" ht="20.05" customHeight="1">
      <c r="B21" t="s" s="10">
        <v>20</v>
      </c>
      <c r="C21" s="17">
        <f>-AVERAGE('Cashflow '!D25:D28)</f>
        <v>-5580.75</v>
      </c>
      <c r="D21" s="18">
        <f>C21</f>
        <v>-5580.75</v>
      </c>
      <c r="E21" s="18">
        <f>D21</f>
        <v>-5580.75</v>
      </c>
      <c r="F21" s="18">
        <f>E21</f>
        <v>-5580.75</v>
      </c>
    </row>
    <row r="22" ht="20.05" customHeight="1">
      <c r="B22" t="s" s="10">
        <v>19</v>
      </c>
      <c r="C22" s="17">
        <f>C6+C8+C21</f>
        <v>19542.6769867522</v>
      </c>
      <c r="D22" s="18">
        <f>D6+D8+D21</f>
        <v>20547.6140662223</v>
      </c>
      <c r="E22" s="18">
        <f>E6+E8+E21</f>
        <v>23421.7341135067</v>
      </c>
      <c r="F22" s="18">
        <f>F6+F8+F21</f>
        <v>21391.5602255613</v>
      </c>
    </row>
    <row r="23" ht="20.05" customHeight="1">
      <c r="B23" t="s" s="20">
        <v>21</v>
      </c>
      <c r="C23" s="17"/>
      <c r="D23" s="18"/>
      <c r="E23" s="18"/>
      <c r="F23" s="18"/>
    </row>
    <row r="24" ht="20.05" customHeight="1">
      <c r="B24" t="s" s="10">
        <v>22</v>
      </c>
      <c r="C24" s="17">
        <f>'Balance sheet'!E28+'Balance sheet'!F28-C10</f>
        <v>453331</v>
      </c>
      <c r="D24" s="18">
        <f>C24-D10</f>
        <v>462382</v>
      </c>
      <c r="E24" s="18">
        <f>D24-E10</f>
        <v>471433</v>
      </c>
      <c r="F24" s="18">
        <f>E24-F10</f>
        <v>480484</v>
      </c>
    </row>
    <row r="25" ht="20.05" customHeight="1">
      <c r="B25" t="s" s="10">
        <v>23</v>
      </c>
      <c r="C25" s="17">
        <f>'Balance sheet'!F28-C21</f>
        <v>113650.75</v>
      </c>
      <c r="D25" s="18">
        <f>C25-D21</f>
        <v>119231.5</v>
      </c>
      <c r="E25" s="18">
        <f>D25-E21</f>
        <v>124812.25</v>
      </c>
      <c r="F25" s="18">
        <f>E25-F21</f>
        <v>130393</v>
      </c>
    </row>
    <row r="26" ht="20.05" customHeight="1">
      <c r="B26" t="s" s="10">
        <v>24</v>
      </c>
      <c r="C26" s="17">
        <f>C24-C25</f>
        <v>339680.25</v>
      </c>
      <c r="D26" s="18">
        <f>D24-D25</f>
        <v>343150.5</v>
      </c>
      <c r="E26" s="18">
        <f>E24-E25</f>
        <v>346620.75</v>
      </c>
      <c r="F26" s="18">
        <f>F24-F25</f>
        <v>350091</v>
      </c>
    </row>
    <row r="27" ht="20.05" customHeight="1">
      <c r="B27" t="s" s="10">
        <v>11</v>
      </c>
      <c r="C27" s="17">
        <f>'Balance sheet'!G28+C12</f>
        <v>97937.399999999994</v>
      </c>
      <c r="D27" s="18">
        <f>C27+D12</f>
        <v>93040.53</v>
      </c>
      <c r="E27" s="18">
        <f>D27+E12</f>
        <v>88388.503500000006</v>
      </c>
      <c r="F27" s="18">
        <f>E27+F12</f>
        <v>83969.078324999995</v>
      </c>
    </row>
    <row r="28" ht="20.05" customHeight="1">
      <c r="B28" t="s" s="10">
        <v>12</v>
      </c>
      <c r="C28" s="17">
        <f>C13</f>
        <v>2762.0469039743</v>
      </c>
      <c r="D28" s="18">
        <f>C28+D13</f>
        <v>4964.8826841076</v>
      </c>
      <c r="E28" s="18">
        <f>D28+E13</f>
        <v>6060.6389500556</v>
      </c>
      <c r="F28" s="18">
        <f>E28+F13</f>
        <v>7532.8460573872</v>
      </c>
    </row>
    <row r="29" ht="20.05" customHeight="1">
      <c r="B29" t="s" s="10">
        <v>14</v>
      </c>
      <c r="C29" s="17">
        <f>'Balance sheet'!H28+C22+C15</f>
        <v>259866.803096026</v>
      </c>
      <c r="D29" s="18">
        <f>C29+D15+D22</f>
        <v>266031.087315893</v>
      </c>
      <c r="E29" s="18">
        <f>D29+E15+E22</f>
        <v>273057.607549945</v>
      </c>
      <c r="F29" s="18">
        <f>E29+F15+F22</f>
        <v>279475.075617613</v>
      </c>
    </row>
    <row r="30" ht="20.05" customHeight="1">
      <c r="B30" t="s" s="10">
        <v>25</v>
      </c>
      <c r="C30" s="17">
        <f>C27+C28+C29-C19-C26</f>
        <v>3e-10</v>
      </c>
      <c r="D30" s="18">
        <f>D27+D28+D29-D19-D26</f>
        <v>6e-10</v>
      </c>
      <c r="E30" s="18">
        <f>E27+E28+E29-E19-E26</f>
        <v>6e-10</v>
      </c>
      <c r="F30" s="18">
        <f>F27+F28+F29-F19-F26</f>
        <v>2e-10</v>
      </c>
    </row>
    <row r="31" ht="20.05" customHeight="1">
      <c r="B31" t="s" s="10">
        <v>26</v>
      </c>
      <c r="C31" s="17">
        <f>C19-C27-C28</f>
        <v>-79813.4469039743</v>
      </c>
      <c r="D31" s="18">
        <f>D19-D27-D28</f>
        <v>-77119.412684107607</v>
      </c>
      <c r="E31" s="18">
        <f>E19-E27-E28</f>
        <v>-73563.1424500556</v>
      </c>
      <c r="F31" s="18">
        <f>F19-F27-F28</f>
        <v>-70615.924382387195</v>
      </c>
    </row>
    <row r="32" ht="20.05" customHeight="1">
      <c r="B32" t="s" s="10">
        <v>27</v>
      </c>
      <c r="C32" s="17"/>
      <c r="D32" s="18"/>
      <c r="E32" s="18"/>
      <c r="F32" s="18"/>
    </row>
    <row r="33" ht="20.05" customHeight="1">
      <c r="B33" t="s" s="10">
        <v>28</v>
      </c>
      <c r="C33" s="17">
        <f>'Cashflow '!N28-C11</f>
        <v>171074.426986752</v>
      </c>
      <c r="D33" s="18">
        <f>C33-D11</f>
        <v>188151.791052974</v>
      </c>
      <c r="E33" s="18">
        <f>D33-E11</f>
        <v>208103.275166481</v>
      </c>
      <c r="F33" s="18">
        <f>E33-F11</f>
        <v>226024.585392042</v>
      </c>
    </row>
    <row r="34" ht="20.05" customHeight="1">
      <c r="B34" t="s" s="10">
        <v>29</v>
      </c>
      <c r="C34" s="17"/>
      <c r="D34" s="18"/>
      <c r="E34" s="18"/>
      <c r="F34" s="18">
        <v>1508199497728</v>
      </c>
    </row>
    <row r="35" ht="20.05" customHeight="1">
      <c r="B35" t="s" s="10">
        <v>29</v>
      </c>
      <c r="C35" s="17"/>
      <c r="D35" s="18"/>
      <c r="E35" s="18"/>
      <c r="F35" s="18">
        <f>F34/1000000</f>
        <v>1508199.497728</v>
      </c>
    </row>
    <row r="36" ht="20.05" customHeight="1">
      <c r="B36" t="s" s="10">
        <v>30</v>
      </c>
      <c r="C36" s="17"/>
      <c r="D36" s="18"/>
      <c r="E36" s="18"/>
      <c r="F36" s="22">
        <f>F35/(F19+F26)</f>
        <v>4.06547979451017</v>
      </c>
    </row>
    <row r="37" ht="20.05" customHeight="1">
      <c r="B37" t="s" s="10">
        <v>31</v>
      </c>
      <c r="C37" s="17"/>
      <c r="D37" s="18"/>
      <c r="E37" s="18"/>
      <c r="F37" s="16">
        <f>-(C15+D15+E15+F15)/F35</f>
        <v>0.0394062654602131</v>
      </c>
    </row>
    <row r="38" ht="20.05" customHeight="1">
      <c r="B38" t="s" s="10">
        <v>3</v>
      </c>
      <c r="C38" s="17"/>
      <c r="D38" s="18"/>
      <c r="E38" s="18"/>
      <c r="F38" s="18">
        <f>SUM(C9:F10)</f>
        <v>71022.5853920425</v>
      </c>
    </row>
    <row r="39" ht="20.05" customHeight="1">
      <c r="B39" t="s" s="10">
        <v>32</v>
      </c>
      <c r="C39" s="17"/>
      <c r="D39" s="18"/>
      <c r="E39" s="18"/>
      <c r="F39" s="18">
        <f>'Balance sheet'!E28/F38</f>
        <v>4.73384625671019</v>
      </c>
    </row>
    <row r="40" ht="20.05" customHeight="1">
      <c r="B40" t="s" s="10">
        <v>27</v>
      </c>
      <c r="C40" s="17"/>
      <c r="D40" s="18"/>
      <c r="E40" s="18"/>
      <c r="F40" s="18">
        <f>F35/F38</f>
        <v>21.2354913497275</v>
      </c>
    </row>
    <row r="41" ht="20.05" customHeight="1">
      <c r="B41" t="s" s="10">
        <v>33</v>
      </c>
      <c r="C41" s="17"/>
      <c r="D41" s="18"/>
      <c r="E41" s="18"/>
      <c r="F41" s="18">
        <v>27</v>
      </c>
    </row>
    <row r="42" ht="20.05" customHeight="1">
      <c r="B42" t="s" s="10">
        <v>34</v>
      </c>
      <c r="C42" s="17"/>
      <c r="D42" s="18"/>
      <c r="E42" s="18"/>
      <c r="F42" s="18">
        <f>F38*F41</f>
        <v>1917609.80558515</v>
      </c>
    </row>
    <row r="43" ht="20.05" customHeight="1">
      <c r="B43" t="s" s="10">
        <v>35</v>
      </c>
      <c r="C43" s="17"/>
      <c r="D43" s="18"/>
      <c r="E43" s="18"/>
      <c r="F43" s="18">
        <f>F35/F45</f>
        <v>655.929987312826</v>
      </c>
    </row>
    <row r="44" ht="20.05" customHeight="1">
      <c r="B44" t="s" s="10">
        <v>36</v>
      </c>
      <c r="C44" s="17"/>
      <c r="D44" s="18"/>
      <c r="E44" s="18"/>
      <c r="F44" s="18">
        <f>F42/F43</f>
        <v>2923.497694382140</v>
      </c>
    </row>
    <row r="45" ht="20.05" customHeight="1">
      <c r="B45" t="s" s="10">
        <v>37</v>
      </c>
      <c r="C45" s="17"/>
      <c r="D45" s="18"/>
      <c r="E45" s="18"/>
      <c r="F45" s="18">
        <v>2299.33</v>
      </c>
    </row>
    <row r="46" ht="20.05" customHeight="1">
      <c r="B46" t="s" s="10">
        <v>38</v>
      </c>
      <c r="C46" s="17"/>
      <c r="D46" s="18"/>
      <c r="E46" s="18"/>
      <c r="F46" s="16">
        <f>F44/F45-1</f>
        <v>0.271456334837601</v>
      </c>
    </row>
    <row r="47" ht="20.05" customHeight="1">
      <c r="B47" t="s" s="10">
        <v>39</v>
      </c>
      <c r="C47" s="17"/>
      <c r="D47" s="18"/>
      <c r="E47" s="18"/>
      <c r="F47" s="16">
        <f>'Sales'!B27/'Sales'!B23-1</f>
        <v>0.229544057562281</v>
      </c>
    </row>
    <row r="48" ht="20.05" customHeight="1">
      <c r="B48" t="s" s="10">
        <v>40</v>
      </c>
      <c r="C48" s="17"/>
      <c r="D48" s="18"/>
      <c r="E48" s="18"/>
      <c r="F48" s="16">
        <f>'Sales'!E30/'Sales'!D30-1</f>
        <v>-0.0329800337737161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3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7" width="11.8672" style="23" customWidth="1"/>
    <col min="8" max="16384" width="16.3516" style="23" customWidth="1"/>
  </cols>
  <sheetData>
    <row r="1" ht="27.65" customHeight="1">
      <c r="A1" t="s" s="2">
        <v>5</v>
      </c>
      <c r="B1" s="2"/>
      <c r="C1" s="2"/>
      <c r="D1" s="2"/>
      <c r="E1" s="2"/>
      <c r="F1" s="2"/>
      <c r="G1" s="2"/>
    </row>
    <row r="2" ht="20.25" customHeight="1">
      <c r="A2" t="s" s="5">
        <v>1</v>
      </c>
      <c r="B2" t="s" s="5">
        <v>5</v>
      </c>
      <c r="C2" t="s" s="5">
        <v>33</v>
      </c>
      <c r="D2" t="s" s="5">
        <v>41</v>
      </c>
      <c r="E2" t="s" s="5">
        <v>6</v>
      </c>
      <c r="F2" t="s" s="5">
        <v>6</v>
      </c>
      <c r="G2" t="s" s="5">
        <v>33</v>
      </c>
    </row>
    <row r="3" ht="20.25" customHeight="1">
      <c r="A3" s="24">
        <v>2016</v>
      </c>
      <c r="B3" s="25">
        <v>20257</v>
      </c>
      <c r="C3" s="26"/>
      <c r="D3" s="27"/>
      <c r="E3" s="9">
        <f>('Cashflow '!C4+'Cashflow '!D4-'Cashflow '!E4-B3)/B3</f>
        <v>-0.604976057659081</v>
      </c>
      <c r="F3" s="27"/>
      <c r="G3" s="27"/>
    </row>
    <row r="4" ht="20.05" customHeight="1">
      <c r="A4" s="28"/>
      <c r="B4" s="13">
        <v>21500</v>
      </c>
      <c r="C4" s="14"/>
      <c r="D4" s="16">
        <f>B4/B3-1</f>
        <v>0.0613615046650541</v>
      </c>
      <c r="E4" s="12">
        <f>('Cashflow '!C5+'Cashflow '!D5-'Cashflow '!E5-B4)/B4</f>
        <v>-0.69293023255814</v>
      </c>
      <c r="F4" s="16"/>
      <c r="G4" s="16"/>
    </row>
    <row r="5" ht="20.05" customHeight="1">
      <c r="A5" s="28"/>
      <c r="B5" s="13">
        <v>22451</v>
      </c>
      <c r="C5" s="14"/>
      <c r="D5" s="16">
        <f>B5/B4-1</f>
        <v>0.0442325581395349</v>
      </c>
      <c r="E5" s="12">
        <f>('Cashflow '!C6+'Cashflow '!D6-'Cashflow '!E6-B5)/B5</f>
        <v>-0.707318159547459</v>
      </c>
      <c r="F5" s="16"/>
      <c r="G5" s="16"/>
    </row>
    <row r="6" ht="20.05" customHeight="1">
      <c r="A6" s="28"/>
      <c r="B6" s="13">
        <v>26064</v>
      </c>
      <c r="C6" s="14"/>
      <c r="D6" s="16">
        <f>B6/B5-1</f>
        <v>0.160928243730792</v>
      </c>
      <c r="E6" s="12">
        <f>('Cashflow '!C7+'Cashflow '!D7-'Cashflow '!E7-B6)/B6</f>
        <v>-0.683049416820135</v>
      </c>
      <c r="F6" s="16"/>
      <c r="G6" s="16"/>
    </row>
    <row r="7" ht="20.05" customHeight="1">
      <c r="A7" s="29">
        <v>2017</v>
      </c>
      <c r="B7" s="13">
        <v>24750</v>
      </c>
      <c r="C7" s="14"/>
      <c r="D7" s="16">
        <f>B7/B6-1</f>
        <v>-0.050414364640884</v>
      </c>
      <c r="E7" s="12">
        <f>('Cashflow '!C8+'Cashflow '!D8-'Cashflow '!E8-B7)/B7</f>
        <v>-0.6077575757575761</v>
      </c>
      <c r="F7" s="16">
        <f>AVERAGE(E4:E7)</f>
        <v>-0.672763846170828</v>
      </c>
      <c r="G7" s="16"/>
    </row>
    <row r="8" ht="20.05" customHeight="1">
      <c r="A8" s="28"/>
      <c r="B8" s="13">
        <v>26010</v>
      </c>
      <c r="C8" s="14"/>
      <c r="D8" s="16">
        <f>B8/B7-1</f>
        <v>0.0509090909090909</v>
      </c>
      <c r="E8" s="12">
        <f>('Cashflow '!C9+'Cashflow '!D9-'Cashflow '!E9-B8)/B8</f>
        <v>-0.737216455209535</v>
      </c>
      <c r="F8" s="16">
        <f>AVERAGE(E5:E8)</f>
        <v>-0.683835401833676</v>
      </c>
      <c r="G8" s="16"/>
    </row>
    <row r="9" ht="20.05" customHeight="1">
      <c r="A9" s="28"/>
      <c r="B9" s="13">
        <v>27772</v>
      </c>
      <c r="C9" s="14"/>
      <c r="D9" s="16">
        <f>B9/B8-1</f>
        <v>0.0677431757016532</v>
      </c>
      <c r="E9" s="12">
        <f>('Cashflow '!C10+'Cashflow '!D10-'Cashflow '!E10-B9)/B9</f>
        <v>-0.623937779058044</v>
      </c>
      <c r="F9" s="16">
        <f>AVERAGE(E6:E9)</f>
        <v>-0.662990306711323</v>
      </c>
      <c r="G9" s="16"/>
    </row>
    <row r="10" ht="20.05" customHeight="1">
      <c r="A10" s="28"/>
      <c r="B10" s="13">
        <v>32323</v>
      </c>
      <c r="C10" s="14"/>
      <c r="D10" s="16">
        <f>B10/B9-1</f>
        <v>0.163870084977675</v>
      </c>
      <c r="E10" s="12">
        <f>('Cashflow '!C11+'Cashflow '!D11-'Cashflow '!E11-B10)/B10</f>
        <v>-1.25944373975188</v>
      </c>
      <c r="F10" s="16">
        <f>AVERAGE(E7:E10)</f>
        <v>-0.807088887444259</v>
      </c>
      <c r="G10" s="16"/>
    </row>
    <row r="11" ht="20.05" customHeight="1">
      <c r="A11" s="29">
        <v>2018</v>
      </c>
      <c r="B11" s="13">
        <v>31146</v>
      </c>
      <c r="C11" s="14"/>
      <c r="D11" s="16">
        <f>B11/B10-1</f>
        <v>-0.0364136992234632</v>
      </c>
      <c r="E11" s="12">
        <f>('Cashflow '!C12+'Cashflow '!D12-'Cashflow '!E12-B11)/B11</f>
        <v>-0.694599627560521</v>
      </c>
      <c r="F11" s="16">
        <f>AVERAGE(E8:E11)</f>
        <v>-0.828799400394995</v>
      </c>
      <c r="G11" s="16"/>
    </row>
    <row r="12" ht="20.05" customHeight="1">
      <c r="A12" s="28"/>
      <c r="B12" s="13">
        <v>32657</v>
      </c>
      <c r="C12" s="14"/>
      <c r="D12" s="16">
        <f>B12/B11-1</f>
        <v>0.0485134527708213</v>
      </c>
      <c r="E12" s="12">
        <f>('Cashflow '!C13+'Cashflow '!D13-'Cashflow '!E13-B12)/B12</f>
        <v>-0.902869216400772</v>
      </c>
      <c r="F12" s="16">
        <f>AVERAGE(E9:E12)</f>
        <v>-0.870212590692804</v>
      </c>
      <c r="G12" s="16"/>
    </row>
    <row r="13" ht="20.05" customHeight="1">
      <c r="A13" s="28"/>
      <c r="B13" s="13">
        <v>33740</v>
      </c>
      <c r="C13" s="14"/>
      <c r="D13" s="16">
        <f>B13/B12-1</f>
        <v>0.0331628747282359</v>
      </c>
      <c r="E13" s="12">
        <f>('Cashflow '!C14+'Cashflow '!D14-'Cashflow '!E14-B13)/B13</f>
        <v>-0.6006520450503851</v>
      </c>
      <c r="F13" s="16">
        <f>AVERAGE(E10:E13)</f>
        <v>-0.86439115719089</v>
      </c>
      <c r="G13" s="16"/>
    </row>
    <row r="14" ht="20.05" customHeight="1">
      <c r="A14" s="28"/>
      <c r="B14" s="13">
        <v>39276</v>
      </c>
      <c r="C14" s="14"/>
      <c r="D14" s="16">
        <f>B14/B13-1</f>
        <v>0.164078245406046</v>
      </c>
      <c r="E14" s="12">
        <f>('Cashflow '!C15+'Cashflow '!D15-'Cashflow '!E15-B14)/B14</f>
        <v>-0.694546287809349</v>
      </c>
      <c r="F14" s="16">
        <f>AVERAGE(E11:E14)</f>
        <v>-0.723166794205257</v>
      </c>
      <c r="G14" s="16"/>
    </row>
    <row r="15" ht="20.05" customHeight="1">
      <c r="A15" s="29">
        <v>2019</v>
      </c>
      <c r="B15" s="13">
        <v>36339</v>
      </c>
      <c r="C15" s="14"/>
      <c r="D15" s="16">
        <f>B15/B14-1</f>
        <v>-0.0747784906813321</v>
      </c>
      <c r="E15" s="12">
        <f>('Cashflow '!C16+'Cashflow '!D16-'Cashflow '!E16-B15)/B15</f>
        <v>-0.729932028949613</v>
      </c>
      <c r="F15" s="16">
        <f>AVERAGE(E12:E15)</f>
        <v>-0.73199989455253</v>
      </c>
      <c r="G15" s="16"/>
    </row>
    <row r="16" ht="20.05" customHeight="1">
      <c r="A16" s="28"/>
      <c r="B16" s="13">
        <v>38944</v>
      </c>
      <c r="C16" s="14"/>
      <c r="D16" s="16">
        <f>B16/B15-1</f>
        <v>0.0716860673106029</v>
      </c>
      <c r="E16" s="12">
        <f>('Cashflow '!C17+'Cashflow '!D17-'Cashflow '!E17-B16)/B16</f>
        <v>-0.637915981922761</v>
      </c>
      <c r="F16" s="16">
        <f>AVERAGE(E13:E16)</f>
        <v>-0.665761585933027</v>
      </c>
      <c r="G16" s="16"/>
    </row>
    <row r="17" ht="20.05" customHeight="1">
      <c r="A17" s="28"/>
      <c r="B17" s="13">
        <v>40499</v>
      </c>
      <c r="C17" s="14"/>
      <c r="D17" s="16">
        <f>B17/B16-1</f>
        <v>0.0399291290057518</v>
      </c>
      <c r="E17" s="12">
        <f>('Cashflow '!C18+'Cashflow '!D18-'Cashflow '!E18-B17)/B17</f>
        <v>-0.701325958665646</v>
      </c>
      <c r="F17" s="16">
        <f>AVERAGE(E14:E17)</f>
        <v>-0.690930064336842</v>
      </c>
      <c r="G17" s="16"/>
    </row>
    <row r="18" ht="20.05" customHeight="1">
      <c r="A18" s="28"/>
      <c r="B18" s="13">
        <v>46075</v>
      </c>
      <c r="C18" s="14"/>
      <c r="D18" s="16">
        <f>B18/B17-1</f>
        <v>0.137682411911405</v>
      </c>
      <c r="E18" s="12">
        <f>('Cashflow '!C19+'Cashflow '!D19-'Cashflow '!E19-B18)/B18</f>
        <v>-0.633836136733587</v>
      </c>
      <c r="F18" s="16">
        <f>AVERAGE(E15:E18)</f>
        <v>-0.675752526567902</v>
      </c>
      <c r="G18" s="16"/>
    </row>
    <row r="19" ht="20.05" customHeight="1">
      <c r="A19" s="29">
        <v>2020</v>
      </c>
      <c r="B19" s="13">
        <v>41159</v>
      </c>
      <c r="C19" s="14"/>
      <c r="D19" s="16">
        <f>B19/B18-1</f>
        <v>-0.106695604991861</v>
      </c>
      <c r="E19" s="12">
        <f>('Cashflow '!C20+'Cashflow '!D20-'Cashflow '!E20-B19)/B19</f>
        <v>-0.578050973055711</v>
      </c>
      <c r="F19" s="16">
        <f>AVERAGE(E16:E19)</f>
        <v>-0.6377822625944261</v>
      </c>
      <c r="G19" s="16"/>
    </row>
    <row r="20" ht="20.05" customHeight="1">
      <c r="A20" s="28"/>
      <c r="B20" s="13">
        <v>38297</v>
      </c>
      <c r="C20" s="14"/>
      <c r="D20" s="16">
        <f>B20/B19-1</f>
        <v>-0.0695352170849632</v>
      </c>
      <c r="E20" s="12">
        <f>('Cashflow '!C21+'Cashflow '!D21-'Cashflow '!E21-B20)/B20</f>
        <v>-0.7561427788077399</v>
      </c>
      <c r="F20" s="16">
        <f>AVERAGE(E17:E20)</f>
        <v>-0.667338961815671</v>
      </c>
      <c r="G20" s="16"/>
    </row>
    <row r="21" ht="20.05" customHeight="1">
      <c r="A21" s="28"/>
      <c r="B21" s="13">
        <v>46173</v>
      </c>
      <c r="C21" s="14"/>
      <c r="D21" s="16">
        <f>B21/B20-1</f>
        <v>0.20565579549312</v>
      </c>
      <c r="E21" s="12">
        <f>('Cashflow '!C22+'Cashflow '!D22-'Cashflow '!E22-B21)/B21</f>
        <v>-0.664500898793667</v>
      </c>
      <c r="F21" s="16">
        <f>AVERAGE(E18:E21)</f>
        <v>-0.6581326968476759</v>
      </c>
      <c r="G21" s="16"/>
    </row>
    <row r="22" ht="20.05" customHeight="1">
      <c r="A22" s="28"/>
      <c r="B22" s="13">
        <v>56898</v>
      </c>
      <c r="C22" s="14">
        <v>49405.11</v>
      </c>
      <c r="D22" s="16">
        <f>B22/B21-1</f>
        <v>0.232278604379183</v>
      </c>
      <c r="E22" s="12">
        <f>('Cashflow '!C23+'Cashflow '!D23-'Cashflow '!E23-B22)/B22</f>
        <v>-0.6612710464339699</v>
      </c>
      <c r="F22" s="16">
        <f>AVERAGE(E19:E22)</f>
        <v>-0.664991424272772</v>
      </c>
      <c r="G22" s="16"/>
    </row>
    <row r="23" ht="20.05" customHeight="1">
      <c r="A23" s="29">
        <v>2021</v>
      </c>
      <c r="B23" s="17">
        <v>55314</v>
      </c>
      <c r="C23" s="14">
        <v>52915.14</v>
      </c>
      <c r="D23" s="16">
        <f>B23/B22-1</f>
        <v>-0.0278392913634926</v>
      </c>
      <c r="E23" s="12">
        <f>('Cashflow '!C24+'Cashflow '!D24-'Cashflow '!E24-B23)/B23</f>
        <v>-0.606699931301298</v>
      </c>
      <c r="F23" s="16">
        <f>AVERAGE(E20:E23)</f>
        <v>-0.672153663834169</v>
      </c>
      <c r="G23" s="16"/>
    </row>
    <row r="24" ht="20.05" customHeight="1">
      <c r="A24" s="28"/>
      <c r="B24" s="13">
        <v>61880</v>
      </c>
      <c r="C24" s="14">
        <v>58079.7</v>
      </c>
      <c r="D24" s="16">
        <f>B24/B23-1</f>
        <v>0.118704125537839</v>
      </c>
      <c r="E24" s="12">
        <f>('Cashflow '!C25+'Cashflow '!D25-'Cashflow '!E25-B24)/B24</f>
        <v>-0.618099547511312</v>
      </c>
      <c r="F24" s="16">
        <f>AVERAGE(E21:E24)</f>
        <v>-0.637642856010062</v>
      </c>
      <c r="G24" s="16"/>
    </row>
    <row r="25" ht="20.05" customHeight="1">
      <c r="A25" s="28"/>
      <c r="B25" s="13">
        <v>65118</v>
      </c>
      <c r="C25" s="14">
        <v>63736.4</v>
      </c>
      <c r="D25" s="16">
        <f>B25/B24-1</f>
        <v>0.0523270846800259</v>
      </c>
      <c r="E25" s="12">
        <f>('Cashflow '!C26+'Cashflow '!D26-'Cashflow '!E26-B25)/B25</f>
        <v>-0.6939863017905959</v>
      </c>
      <c r="F25" s="16">
        <f>AVERAGE(E22:E25)</f>
        <v>-0.645014206759294</v>
      </c>
      <c r="G25" s="16"/>
    </row>
    <row r="26" ht="20.05" customHeight="1">
      <c r="A26" s="28"/>
      <c r="B26" s="13">
        <v>75325</v>
      </c>
      <c r="C26" s="14">
        <v>74234.52</v>
      </c>
      <c r="D26" s="16">
        <f>B26/B25-1</f>
        <v>0.156746214564329</v>
      </c>
      <c r="E26" s="12">
        <f>('Cashflow '!C27+'Cashflow '!D27-'Cashflow '!E27-B26)/B26</f>
        <v>-0.609903750414869</v>
      </c>
      <c r="F26" s="16">
        <f>AVERAGE(E23:E26)</f>
        <v>-0.632172382754519</v>
      </c>
      <c r="G26" s="16"/>
    </row>
    <row r="27" ht="20.05" customHeight="1">
      <c r="A27" s="29">
        <v>2022</v>
      </c>
      <c r="B27" s="13">
        <v>68011</v>
      </c>
      <c r="C27" s="14">
        <v>71558.75</v>
      </c>
      <c r="D27" s="16">
        <f>B27/B26-1</f>
        <v>-0.0970992366412214</v>
      </c>
      <c r="E27" s="12">
        <f>('Cashflow '!C28+'Cashflow '!D28-'Cashflow '!E28-B27)/B27</f>
        <v>-0.657231918366147</v>
      </c>
      <c r="F27" s="16">
        <f>AVERAGE(E24:E27)</f>
        <v>-0.644805379520731</v>
      </c>
      <c r="G27" s="16">
        <f>F27</f>
        <v>-0.644805379520731</v>
      </c>
    </row>
    <row r="28" ht="20.05" customHeight="1">
      <c r="A28" s="28"/>
      <c r="B28" s="13"/>
      <c r="C28" s="14">
        <f>'Model'!C6</f>
        <v>70731.44</v>
      </c>
      <c r="D28" s="12"/>
      <c r="E28" s="12"/>
      <c r="F28" s="21"/>
      <c r="G28" s="16">
        <f>'Model'!C7</f>
        <v>-0.644805379520731</v>
      </c>
    </row>
    <row r="29" ht="20.05" customHeight="1">
      <c r="A29" s="28"/>
      <c r="B29" s="13"/>
      <c r="C29" s="14">
        <f>'Model'!D6</f>
        <v>73560.6976</v>
      </c>
      <c r="D29" s="12"/>
      <c r="E29" s="12"/>
      <c r="F29" s="16"/>
      <c r="G29" s="16"/>
    </row>
    <row r="30" ht="20.05" customHeight="1">
      <c r="A30" s="28"/>
      <c r="B30" s="13"/>
      <c r="C30" s="14">
        <f>'Model'!E6</f>
        <v>81652.374335999993</v>
      </c>
      <c r="D30" s="18">
        <f>SUM(B22:B27)</f>
        <v>382546</v>
      </c>
      <c r="E30" s="18">
        <f>SUM(C22:C27)</f>
        <v>369929.62</v>
      </c>
      <c r="F30" s="16"/>
      <c r="G30" s="16"/>
    </row>
    <row r="31" ht="20.05" customHeight="1">
      <c r="A31" s="29">
        <v>2023</v>
      </c>
      <c r="B31" s="13"/>
      <c r="C31" s="14">
        <f>'Model'!F6</f>
        <v>75936.708132479995</v>
      </c>
      <c r="D31" s="12"/>
      <c r="E31" s="12"/>
      <c r="F31" s="16"/>
      <c r="G31" s="16"/>
    </row>
  </sheetData>
  <mergeCells count="1">
    <mergeCell ref="A1:G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B3:P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91406" style="30" customWidth="1"/>
    <col min="2" max="16" width="10.2578" style="30" customWidth="1"/>
    <col min="17" max="16384" width="16.3516" style="30" customWidth="1"/>
  </cols>
  <sheetData>
    <row r="1" ht="21.1" customHeight="1"/>
    <row r="2" ht="27.65" customHeight="1">
      <c r="B2" t="s" s="2">
        <v>42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32.25" customHeight="1">
      <c r="B3" t="s" s="5">
        <v>1</v>
      </c>
      <c r="C3" t="s" s="5">
        <v>43</v>
      </c>
      <c r="D3" t="s" s="5">
        <v>20</v>
      </c>
      <c r="E3" t="s" s="5">
        <v>44</v>
      </c>
      <c r="F3" t="s" s="5">
        <v>8</v>
      </c>
      <c r="G3" t="s" s="5">
        <v>9</v>
      </c>
      <c r="H3" t="s" s="5">
        <v>11</v>
      </c>
      <c r="I3" t="s" s="5">
        <v>14</v>
      </c>
      <c r="J3" t="s" s="5">
        <v>10</v>
      </c>
      <c r="K3" t="s" s="5">
        <v>45</v>
      </c>
      <c r="L3" t="s" s="5">
        <v>3</v>
      </c>
      <c r="M3" t="s" s="5">
        <v>33</v>
      </c>
      <c r="N3" t="s" s="5">
        <v>28</v>
      </c>
      <c r="O3" t="s" s="5">
        <v>33</v>
      </c>
      <c r="P3" s="31"/>
    </row>
    <row r="4" ht="20.25" customHeight="1">
      <c r="B4" s="24">
        <v>2016</v>
      </c>
      <c r="C4" s="32">
        <v>4207</v>
      </c>
      <c r="D4" s="33">
        <v>3623</v>
      </c>
      <c r="E4" s="33">
        <f>F4-D4-C4</f>
        <v>-172</v>
      </c>
      <c r="F4" s="33">
        <v>7658</v>
      </c>
      <c r="G4" s="33">
        <v>-6245</v>
      </c>
      <c r="H4" s="33"/>
      <c r="I4" s="33"/>
      <c r="J4" s="33">
        <v>-2911</v>
      </c>
      <c r="K4" s="33">
        <f>F4+G4</f>
        <v>1413</v>
      </c>
      <c r="L4" s="33"/>
      <c r="M4" s="33"/>
      <c r="N4" s="33">
        <f>-J4</f>
        <v>2911</v>
      </c>
      <c r="O4" s="33"/>
      <c r="P4" s="33">
        <v>1</v>
      </c>
    </row>
    <row r="5" ht="20.05" customHeight="1">
      <c r="B5" s="28"/>
      <c r="C5" s="17">
        <v>4877</v>
      </c>
      <c r="D5" s="18">
        <v>2984</v>
      </c>
      <c r="E5" s="18">
        <f>F5-D5-C5</f>
        <v>1259</v>
      </c>
      <c r="F5" s="18">
        <v>9120</v>
      </c>
      <c r="G5" s="18">
        <v>-7173</v>
      </c>
      <c r="H5" s="18"/>
      <c r="I5" s="18"/>
      <c r="J5" s="18">
        <v>-3440</v>
      </c>
      <c r="K5" s="18">
        <f>F5+G5</f>
        <v>1947</v>
      </c>
      <c r="L5" s="18"/>
      <c r="M5" s="18"/>
      <c r="N5" s="18">
        <f>-J5+N4</f>
        <v>6351</v>
      </c>
      <c r="O5" s="18"/>
      <c r="P5" s="18">
        <f>1+P4</f>
        <v>2</v>
      </c>
    </row>
    <row r="6" ht="20.05" customHeight="1">
      <c r="B6" s="28"/>
      <c r="C6" s="17">
        <v>5061</v>
      </c>
      <c r="D6" s="18">
        <v>3147</v>
      </c>
      <c r="E6" s="18">
        <f>F6-D6-C6</f>
        <v>1637</v>
      </c>
      <c r="F6" s="18">
        <v>9845</v>
      </c>
      <c r="G6" s="18">
        <v>-13045</v>
      </c>
      <c r="H6" s="18"/>
      <c r="I6" s="18"/>
      <c r="J6" s="18">
        <v>-1089</v>
      </c>
      <c r="K6" s="18">
        <f>F6+G6</f>
        <v>-3200</v>
      </c>
      <c r="L6" s="18"/>
      <c r="M6" s="18"/>
      <c r="N6" s="18">
        <f>-J6+N5</f>
        <v>7440</v>
      </c>
      <c r="O6" s="18"/>
      <c r="P6" s="18">
        <f>1+P5</f>
        <v>3</v>
      </c>
    </row>
    <row r="7" ht="20.05" customHeight="1">
      <c r="B7" s="28"/>
      <c r="C7" s="17">
        <v>5333</v>
      </c>
      <c r="D7" s="18">
        <v>3504</v>
      </c>
      <c r="E7" s="18">
        <f>F7-D7-C7</f>
        <v>576</v>
      </c>
      <c r="F7" s="18">
        <v>9413</v>
      </c>
      <c r="G7" s="18">
        <v>-4702</v>
      </c>
      <c r="H7" s="18"/>
      <c r="I7" s="18"/>
      <c r="J7" s="18">
        <v>-892</v>
      </c>
      <c r="K7" s="18">
        <f>F7+G7</f>
        <v>4711</v>
      </c>
      <c r="L7" s="18"/>
      <c r="M7" s="18"/>
      <c r="N7" s="18">
        <f>-J7+N6</f>
        <v>8332</v>
      </c>
      <c r="O7" s="18"/>
      <c r="P7" s="18">
        <f>1+P6</f>
        <v>4</v>
      </c>
    </row>
    <row r="8" ht="20.05" customHeight="1">
      <c r="B8" s="29">
        <v>2017</v>
      </c>
      <c r="C8" s="17">
        <v>5426</v>
      </c>
      <c r="D8" s="18">
        <v>4202</v>
      </c>
      <c r="E8" s="18">
        <f>F8-D8-C8</f>
        <v>-80</v>
      </c>
      <c r="F8" s="18">
        <v>9548</v>
      </c>
      <c r="G8" s="18">
        <v>-2851</v>
      </c>
      <c r="H8" s="18"/>
      <c r="I8" s="18"/>
      <c r="J8" s="18">
        <v>-1674</v>
      </c>
      <c r="K8" s="18">
        <f>F8+G8</f>
        <v>6697</v>
      </c>
      <c r="L8" s="18">
        <f>AVERAGE(K5:K8)</f>
        <v>2538.75</v>
      </c>
      <c r="M8" s="18"/>
      <c r="N8" s="18">
        <f>-J8+N7</f>
        <v>10006</v>
      </c>
      <c r="O8" s="18"/>
      <c r="P8" s="18">
        <f>1+P7</f>
        <v>5</v>
      </c>
    </row>
    <row r="9" ht="20.05" customHeight="1">
      <c r="B9" s="28"/>
      <c r="C9" s="17">
        <v>3524</v>
      </c>
      <c r="D9" s="18">
        <v>3595</v>
      </c>
      <c r="E9" s="18">
        <f>F9-D9-C9</f>
        <v>284</v>
      </c>
      <c r="F9" s="18">
        <v>7403</v>
      </c>
      <c r="G9" s="18">
        <v>-7172</v>
      </c>
      <c r="H9" s="18"/>
      <c r="I9" s="18"/>
      <c r="J9" s="18">
        <v>-2740</v>
      </c>
      <c r="K9" s="18">
        <f>F9+G9</f>
        <v>231</v>
      </c>
      <c r="L9" s="18">
        <f>AVERAGE(K6:K9)</f>
        <v>2109.75</v>
      </c>
      <c r="M9" s="18"/>
      <c r="N9" s="18">
        <f>-J9+N8</f>
        <v>12746</v>
      </c>
      <c r="O9" s="18"/>
      <c r="P9" s="18">
        <f>1+P8</f>
        <v>6</v>
      </c>
    </row>
    <row r="10" ht="20.05" customHeight="1">
      <c r="B10" s="28"/>
      <c r="C10" s="17">
        <v>6732</v>
      </c>
      <c r="D10" s="18">
        <v>3426</v>
      </c>
      <c r="E10" s="18">
        <f>F10-D10-C10</f>
        <v>-286</v>
      </c>
      <c r="F10" s="18">
        <v>9872</v>
      </c>
      <c r="G10" s="18">
        <v>-14404</v>
      </c>
      <c r="H10" s="18"/>
      <c r="I10" s="18"/>
      <c r="J10" s="18">
        <v>-706</v>
      </c>
      <c r="K10" s="18">
        <f>F10+G10</f>
        <v>-4532</v>
      </c>
      <c r="L10" s="18">
        <f>AVERAGE(K7:K10)</f>
        <v>1776.75</v>
      </c>
      <c r="M10" s="18"/>
      <c r="N10" s="18">
        <f>-J10+N9</f>
        <v>13452</v>
      </c>
      <c r="O10" s="18"/>
      <c r="P10" s="18">
        <f>1+P9</f>
        <v>7</v>
      </c>
    </row>
    <row r="11" ht="20.05" customHeight="1">
      <c r="B11" s="28"/>
      <c r="C11" s="17">
        <v>-3020</v>
      </c>
      <c r="D11" s="18">
        <v>3961</v>
      </c>
      <c r="E11" s="18">
        <f>F11-D11-C11</f>
        <v>9327</v>
      </c>
      <c r="F11" s="18">
        <v>10268</v>
      </c>
      <c r="G11" s="18">
        <v>-6974</v>
      </c>
      <c r="H11" s="18"/>
      <c r="I11" s="18"/>
      <c r="J11" s="18">
        <v>-3178</v>
      </c>
      <c r="K11" s="18">
        <f>F11+G11</f>
        <v>3294</v>
      </c>
      <c r="L11" s="18">
        <f>AVERAGE(K8:K11)</f>
        <v>1422.5</v>
      </c>
      <c r="M11" s="18"/>
      <c r="N11" s="18">
        <f>-J11+N10</f>
        <v>16630</v>
      </c>
      <c r="O11" s="18"/>
      <c r="P11" s="18">
        <f>1+P10</f>
        <v>8</v>
      </c>
    </row>
    <row r="12" ht="20.05" customHeight="1">
      <c r="B12" s="29">
        <v>2018</v>
      </c>
      <c r="C12" s="17">
        <v>9401</v>
      </c>
      <c r="D12" s="18">
        <v>1176</v>
      </c>
      <c r="E12" s="18">
        <f>F12-D12-C12</f>
        <v>1065</v>
      </c>
      <c r="F12" s="18">
        <v>11642</v>
      </c>
      <c r="G12" s="18">
        <v>-7846</v>
      </c>
      <c r="H12" s="18"/>
      <c r="I12" s="18"/>
      <c r="J12" s="18">
        <v>-2018</v>
      </c>
      <c r="K12" s="18">
        <f>F12+G12</f>
        <v>3796</v>
      </c>
      <c r="L12" s="18">
        <f>AVERAGE(K9:K12)</f>
        <v>697.25</v>
      </c>
      <c r="M12" s="18"/>
      <c r="N12" s="18">
        <f>-J12+N11</f>
        <v>18648</v>
      </c>
      <c r="O12" s="18"/>
      <c r="P12" s="18">
        <f>1+P11</f>
        <v>9</v>
      </c>
    </row>
    <row r="13" ht="20.05" customHeight="1">
      <c r="B13" s="28"/>
      <c r="C13" s="17">
        <v>3195</v>
      </c>
      <c r="D13" s="18">
        <v>3457</v>
      </c>
      <c r="E13" s="18">
        <f>F13-D13-C13</f>
        <v>3480</v>
      </c>
      <c r="F13" s="18">
        <v>10132</v>
      </c>
      <c r="G13" s="18">
        <v>-3374</v>
      </c>
      <c r="H13" s="18"/>
      <c r="I13" s="18"/>
      <c r="J13" s="18">
        <v>-4937</v>
      </c>
      <c r="K13" s="18">
        <f>F13+G13</f>
        <v>6758</v>
      </c>
      <c r="L13" s="18">
        <f>AVERAGE(K10:K13)</f>
        <v>2329</v>
      </c>
      <c r="M13" s="18"/>
      <c r="N13" s="18">
        <f>-J13+N12</f>
        <v>23585</v>
      </c>
      <c r="O13" s="18"/>
      <c r="P13" s="18">
        <f>1+P12</f>
        <v>10</v>
      </c>
    </row>
    <row r="14" ht="20.05" customHeight="1">
      <c r="B14" s="28"/>
      <c r="C14" s="17">
        <v>9192</v>
      </c>
      <c r="D14" s="18">
        <v>4150</v>
      </c>
      <c r="E14" s="18">
        <f>F14-D14-C14</f>
        <v>-132</v>
      </c>
      <c r="F14" s="18">
        <v>13210</v>
      </c>
      <c r="G14" s="18">
        <v>-10408</v>
      </c>
      <c r="H14" s="18"/>
      <c r="I14" s="18"/>
      <c r="J14" s="18">
        <v>-3478</v>
      </c>
      <c r="K14" s="18">
        <f>F14+G14</f>
        <v>2802</v>
      </c>
      <c r="L14" s="18">
        <f>AVERAGE(K11:K14)</f>
        <v>4162.5</v>
      </c>
      <c r="M14" s="18"/>
      <c r="N14" s="18">
        <f>-J14+N13</f>
        <v>27063</v>
      </c>
      <c r="O14" s="18"/>
      <c r="P14" s="18">
        <f>1+P13</f>
        <v>11</v>
      </c>
    </row>
    <row r="15" ht="20.05" customHeight="1">
      <c r="B15" s="28"/>
      <c r="C15" s="17">
        <v>8948</v>
      </c>
      <c r="D15" s="18">
        <v>3544</v>
      </c>
      <c r="E15" s="18">
        <f>F15-D15-C15</f>
        <v>495</v>
      </c>
      <c r="F15" s="18">
        <v>12987</v>
      </c>
      <c r="G15" s="18">
        <v>-6876</v>
      </c>
      <c r="H15" s="18"/>
      <c r="I15" s="18"/>
      <c r="J15" s="18">
        <v>-2746</v>
      </c>
      <c r="K15" s="18">
        <f>F15+G15</f>
        <v>6111</v>
      </c>
      <c r="L15" s="18">
        <f>AVERAGE(K12:K15)</f>
        <v>4866.75</v>
      </c>
      <c r="M15" s="18"/>
      <c r="N15" s="18">
        <f>-J15+N14</f>
        <v>29809</v>
      </c>
      <c r="O15" s="18"/>
      <c r="P15" s="18">
        <f>1+P14</f>
        <v>12</v>
      </c>
    </row>
    <row r="16" ht="20.05" customHeight="1">
      <c r="B16" s="29">
        <v>2019</v>
      </c>
      <c r="C16" s="17">
        <v>6657</v>
      </c>
      <c r="D16" s="18">
        <v>4250</v>
      </c>
      <c r="E16" s="18">
        <f>F16-D16-C16</f>
        <v>1093</v>
      </c>
      <c r="F16" s="18">
        <v>12000</v>
      </c>
      <c r="G16" s="18">
        <v>-5388</v>
      </c>
      <c r="H16" s="18"/>
      <c r="I16" s="18"/>
      <c r="J16" s="18">
        <v>-4183</v>
      </c>
      <c r="K16" s="18">
        <f>F16+G16</f>
        <v>6612</v>
      </c>
      <c r="L16" s="18">
        <f>AVERAGE(K13:K16)</f>
        <v>5570.75</v>
      </c>
      <c r="M16" s="18"/>
      <c r="N16" s="18">
        <f>-J16+N15</f>
        <v>33992</v>
      </c>
      <c r="O16" s="18"/>
      <c r="P16" s="18">
        <f>1+P15</f>
        <v>13</v>
      </c>
    </row>
    <row r="17" ht="20.05" customHeight="1">
      <c r="B17" s="28"/>
      <c r="C17" s="17">
        <v>9947</v>
      </c>
      <c r="D17" s="18">
        <v>3417</v>
      </c>
      <c r="E17" s="18">
        <f>F17-D17-C17</f>
        <v>-737</v>
      </c>
      <c r="F17" s="18">
        <v>12627</v>
      </c>
      <c r="G17" s="18">
        <v>-10455</v>
      </c>
      <c r="H17" s="18"/>
      <c r="I17" s="18"/>
      <c r="J17" s="18">
        <v>-4746</v>
      </c>
      <c r="K17" s="18">
        <f>F17+G17</f>
        <v>2172</v>
      </c>
      <c r="L17" s="18">
        <f>AVERAGE(K14:K17)</f>
        <v>4424.25</v>
      </c>
      <c r="M17" s="18"/>
      <c r="N17" s="18">
        <f>-J17+N16</f>
        <v>38738</v>
      </c>
      <c r="O17" s="18"/>
      <c r="P17" s="18">
        <f>1+P16</f>
        <v>14</v>
      </c>
    </row>
    <row r="18" ht="20.05" customHeight="1">
      <c r="B18" s="28"/>
      <c r="C18" s="17">
        <v>7068</v>
      </c>
      <c r="D18" s="18">
        <v>6713</v>
      </c>
      <c r="E18" s="18">
        <f>F18-D18-C18</f>
        <v>1685</v>
      </c>
      <c r="F18" s="18">
        <v>15466</v>
      </c>
      <c r="G18" s="18">
        <v>-8945</v>
      </c>
      <c r="H18" s="18"/>
      <c r="I18" s="18"/>
      <c r="J18" s="18">
        <v>-6954</v>
      </c>
      <c r="K18" s="18">
        <f>F18+G18</f>
        <v>6521</v>
      </c>
      <c r="L18" s="18">
        <f>AVERAGE(K15:K18)</f>
        <v>5354</v>
      </c>
      <c r="M18" s="18"/>
      <c r="N18" s="18">
        <f>-J18+N17</f>
        <v>45692</v>
      </c>
      <c r="O18" s="18"/>
      <c r="P18" s="18">
        <f>1+P17</f>
        <v>15</v>
      </c>
    </row>
    <row r="19" ht="20.05" customHeight="1">
      <c r="B19" s="28"/>
      <c r="C19" s="17">
        <v>10671</v>
      </c>
      <c r="D19" s="18">
        <v>4978</v>
      </c>
      <c r="E19" s="18">
        <f>F19-D19-C19</f>
        <v>-1222</v>
      </c>
      <c r="F19" s="18">
        <v>14427</v>
      </c>
      <c r="G19" s="18">
        <v>-4703</v>
      </c>
      <c r="H19" s="18"/>
      <c r="I19" s="18"/>
      <c r="J19" s="18">
        <v>-7326</v>
      </c>
      <c r="K19" s="18">
        <f>F19+G19</f>
        <v>9724</v>
      </c>
      <c r="L19" s="18">
        <f>AVERAGE(K16:K19)</f>
        <v>6257.25</v>
      </c>
      <c r="M19" s="18"/>
      <c r="N19" s="18">
        <f>-J19+N18</f>
        <v>53018</v>
      </c>
      <c r="O19" s="18"/>
      <c r="P19" s="18">
        <f>1+P18</f>
        <v>16</v>
      </c>
    </row>
    <row r="20" ht="20.05" customHeight="1">
      <c r="B20" s="29">
        <v>2020</v>
      </c>
      <c r="C20" s="17">
        <v>6836</v>
      </c>
      <c r="D20" s="18">
        <v>7573</v>
      </c>
      <c r="E20" s="18">
        <f>F20-D20-C20</f>
        <v>-2958</v>
      </c>
      <c r="F20" s="18">
        <v>11451</v>
      </c>
      <c r="G20" s="18">
        <v>-1847</v>
      </c>
      <c r="H20" s="18"/>
      <c r="I20" s="18"/>
      <c r="J20" s="18">
        <v>-8186</v>
      </c>
      <c r="K20" s="18">
        <f>F20+G20</f>
        <v>9604</v>
      </c>
      <c r="L20" s="18">
        <f>AVERAGE(K17:K20)</f>
        <v>7005.25</v>
      </c>
      <c r="M20" s="18"/>
      <c r="N20" s="18">
        <f>-J20+N19</f>
        <v>61204</v>
      </c>
      <c r="O20" s="18"/>
      <c r="P20" s="18">
        <f>1+P19</f>
        <v>17</v>
      </c>
    </row>
    <row r="21" ht="20.05" customHeight="1">
      <c r="B21" s="28"/>
      <c r="C21" s="17">
        <v>6959</v>
      </c>
      <c r="D21" s="18">
        <v>4707</v>
      </c>
      <c r="E21" s="18">
        <f>F21-D21-C21</f>
        <v>2327</v>
      </c>
      <c r="F21" s="18">
        <v>13993</v>
      </c>
      <c r="G21" s="18">
        <v>-8448</v>
      </c>
      <c r="H21" s="18"/>
      <c r="I21" s="18"/>
      <c r="J21" s="18">
        <v>-7498</v>
      </c>
      <c r="K21" s="18">
        <f>F21+G21</f>
        <v>5545</v>
      </c>
      <c r="L21" s="18">
        <f>AVERAGE(K18:K21)</f>
        <v>7848.5</v>
      </c>
      <c r="M21" s="18"/>
      <c r="N21" s="18">
        <f>-J21+N20</f>
        <v>68702</v>
      </c>
      <c r="O21" s="18"/>
      <c r="P21" s="18">
        <f>1+P20</f>
        <v>18</v>
      </c>
    </row>
    <row r="22" ht="20.05" customHeight="1">
      <c r="B22" s="28"/>
      <c r="C22" s="17">
        <v>11247</v>
      </c>
      <c r="D22" s="18">
        <v>5000</v>
      </c>
      <c r="E22" s="18">
        <f>F22-D22-C22</f>
        <v>756</v>
      </c>
      <c r="F22" s="18">
        <v>17003</v>
      </c>
      <c r="G22" s="18">
        <v>-15197</v>
      </c>
      <c r="H22" s="18"/>
      <c r="I22" s="18"/>
      <c r="J22" s="18">
        <v>546</v>
      </c>
      <c r="K22" s="18">
        <f>F22+G22</f>
        <v>1806</v>
      </c>
      <c r="L22" s="18">
        <f>AVERAGE(K19:K22)</f>
        <v>6669.75</v>
      </c>
      <c r="M22" s="18"/>
      <c r="N22" s="18">
        <f>-J22+N21</f>
        <v>68156</v>
      </c>
      <c r="O22" s="18"/>
      <c r="P22" s="18">
        <f>1+P21</f>
        <v>19</v>
      </c>
    </row>
    <row r="23" ht="20.05" customHeight="1">
      <c r="B23" s="28"/>
      <c r="C23" s="17">
        <v>15227</v>
      </c>
      <c r="D23" s="18">
        <f>3539+186+3223+1670-3262+392</f>
        <v>5748</v>
      </c>
      <c r="E23" s="18">
        <f>F23-D23-C23</f>
        <v>1702</v>
      </c>
      <c r="F23" s="18">
        <v>22677</v>
      </c>
      <c r="G23" s="18">
        <v>-7281</v>
      </c>
      <c r="H23" s="18"/>
      <c r="I23" s="18"/>
      <c r="J23" s="18">
        <v>-9270</v>
      </c>
      <c r="K23" s="18">
        <f>F23+G23</f>
        <v>15396</v>
      </c>
      <c r="L23" s="18">
        <f>AVERAGE(K20:K23)</f>
        <v>8087.75</v>
      </c>
      <c r="M23" s="18"/>
      <c r="N23" s="18">
        <f>-J23+N22</f>
        <v>77426</v>
      </c>
      <c r="O23" s="18"/>
      <c r="P23" s="18">
        <f>1+P22</f>
        <v>20</v>
      </c>
    </row>
    <row r="24" ht="20.05" customHeight="1">
      <c r="B24" s="29">
        <v>2021</v>
      </c>
      <c r="C24" s="17">
        <v>17930</v>
      </c>
      <c r="D24" s="18">
        <f>2525+228+3745+1100-4751-255</f>
        <v>2592</v>
      </c>
      <c r="E24" s="18">
        <f>F24-D24-C24</f>
        <v>-1233</v>
      </c>
      <c r="F24" s="18">
        <v>19289</v>
      </c>
      <c r="G24" s="18">
        <v>-5383</v>
      </c>
      <c r="H24" s="18"/>
      <c r="I24" s="18"/>
      <c r="J24" s="18">
        <v>-13606</v>
      </c>
      <c r="K24" s="18">
        <f>F24+G24</f>
        <v>13906</v>
      </c>
      <c r="L24" s="18">
        <f>AVERAGE(K21:K24)</f>
        <v>9163.25</v>
      </c>
      <c r="M24" s="18"/>
      <c r="N24" s="18">
        <f>-J24+N23</f>
        <v>91032</v>
      </c>
      <c r="O24" s="18"/>
      <c r="P24" s="18">
        <f>1+P23</f>
        <v>21</v>
      </c>
    </row>
    <row r="25" ht="20.05" customHeight="1">
      <c r="B25" s="28"/>
      <c r="C25" s="17">
        <v>18525</v>
      </c>
      <c r="D25" s="18">
        <v>4236</v>
      </c>
      <c r="E25" s="18">
        <f>F25-D25-C25</f>
        <v>-871</v>
      </c>
      <c r="F25" s="18">
        <v>21890</v>
      </c>
      <c r="G25" s="18">
        <v>-9074</v>
      </c>
      <c r="H25" s="18"/>
      <c r="I25" s="18"/>
      <c r="J25" s="18">
        <v>-15991</v>
      </c>
      <c r="K25" s="18">
        <f>F25+G25</f>
        <v>12816</v>
      </c>
      <c r="L25" s="18">
        <f>AVERAGE(K22:K25)</f>
        <v>10981</v>
      </c>
      <c r="M25" s="18"/>
      <c r="N25" s="18">
        <f>-J25+N24</f>
        <v>107023</v>
      </c>
      <c r="O25" s="18"/>
      <c r="P25" s="18">
        <f>1+P24</f>
        <v>22</v>
      </c>
    </row>
    <row r="26" ht="20.05" customHeight="1">
      <c r="B26" s="28"/>
      <c r="C26" s="17">
        <v>18936</v>
      </c>
      <c r="D26" s="18">
        <v>3797</v>
      </c>
      <c r="E26" s="18">
        <f>F26-D26-C26</f>
        <v>2806</v>
      </c>
      <c r="F26" s="18">
        <v>25539</v>
      </c>
      <c r="G26" s="18">
        <v>-10050</v>
      </c>
      <c r="H26" s="18"/>
      <c r="I26" s="18"/>
      <c r="J26" s="18">
        <v>-15254</v>
      </c>
      <c r="K26" s="18">
        <f>F26+G26</f>
        <v>15489</v>
      </c>
      <c r="L26" s="18">
        <f>AVERAGE(K23:K26)</f>
        <v>14401.75</v>
      </c>
      <c r="M26" s="18"/>
      <c r="N26" s="18">
        <f>-J26+N25</f>
        <v>122277</v>
      </c>
      <c r="O26" s="18"/>
      <c r="P26" s="18">
        <f>1+P25</f>
        <v>23</v>
      </c>
    </row>
    <row r="27" ht="20.05" customHeight="1">
      <c r="B27" s="28"/>
      <c r="C27" s="17">
        <v>20642</v>
      </c>
      <c r="D27" s="18">
        <f>3215+224+3954+1616-2478-14</f>
        <v>6517</v>
      </c>
      <c r="E27" s="18">
        <f>F27-D27-C27</f>
        <v>-2225</v>
      </c>
      <c r="F27" s="18">
        <v>24934</v>
      </c>
      <c r="G27" s="18">
        <v>-11016</v>
      </c>
      <c r="H27" s="18">
        <f>6250-6365</f>
        <v>-115</v>
      </c>
      <c r="I27" s="18">
        <f>-2923-13473</f>
        <v>-16396</v>
      </c>
      <c r="J27" s="18">
        <f>H27+I27</f>
        <v>-16511</v>
      </c>
      <c r="K27" s="18">
        <f>F27+G27</f>
        <v>13918</v>
      </c>
      <c r="L27" s="18">
        <f>AVERAGE(K24:K27)</f>
        <v>14032.25</v>
      </c>
      <c r="M27" s="18"/>
      <c r="N27" s="18">
        <f>-J27+N26</f>
        <v>138788</v>
      </c>
      <c r="O27" s="18"/>
      <c r="P27" s="18">
        <f>1+P26</f>
        <v>24</v>
      </c>
    </row>
    <row r="28" ht="20.05" customHeight="1">
      <c r="B28" s="29">
        <v>2022</v>
      </c>
      <c r="C28" s="17">
        <v>16436</v>
      </c>
      <c r="D28" s="18">
        <f>3591+191+4504-2090+1437+140</f>
        <v>7773</v>
      </c>
      <c r="E28" s="18">
        <f>F28-D28-C28</f>
        <v>897</v>
      </c>
      <c r="F28" s="18">
        <v>25106</v>
      </c>
      <c r="G28" s="18">
        <v>-9051</v>
      </c>
      <c r="H28" s="18">
        <v>0</v>
      </c>
      <c r="I28" s="18">
        <f>-2916-13300</f>
        <v>-16216</v>
      </c>
      <c r="J28" s="18">
        <v>-16214</v>
      </c>
      <c r="K28" s="18">
        <f>F28+G28</f>
        <v>16055</v>
      </c>
      <c r="L28" s="18">
        <f>AVERAGE(K25:K28)</f>
        <v>14569.5</v>
      </c>
      <c r="M28" s="18">
        <f>L28</f>
        <v>14569.5</v>
      </c>
      <c r="N28" s="18">
        <f>-J28+N27</f>
        <v>155002</v>
      </c>
      <c r="O28" s="18">
        <f>N28</f>
        <v>155002</v>
      </c>
      <c r="P28" s="18">
        <f>1+P27</f>
        <v>25</v>
      </c>
    </row>
    <row r="29" ht="20.05" customHeight="1">
      <c r="B29" s="28"/>
      <c r="C29" s="17"/>
      <c r="D29" s="18"/>
      <c r="E29" s="18"/>
      <c r="F29" s="18"/>
      <c r="G29" s="18"/>
      <c r="H29" s="18"/>
      <c r="I29" s="18"/>
      <c r="J29" s="18"/>
      <c r="K29" s="18"/>
      <c r="L29" s="21"/>
      <c r="M29" s="18">
        <f>SUM('Model'!C9:F10)/4</f>
        <v>17755.6463480106</v>
      </c>
      <c r="N29" s="21"/>
      <c r="O29" s="18">
        <f>'Model'!F33</f>
        <v>226024.585392042</v>
      </c>
      <c r="P29" s="18"/>
    </row>
  </sheetData>
  <mergeCells count="1">
    <mergeCell ref="B2:P2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17188" style="34" customWidth="1"/>
    <col min="2" max="11" width="9.85156" style="34" customWidth="1"/>
    <col min="12" max="16384" width="16.3516" style="34" customWidth="1"/>
  </cols>
  <sheetData>
    <row r="1" ht="12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46</v>
      </c>
      <c r="D3" t="s" s="5">
        <v>47</v>
      </c>
      <c r="E3" t="s" s="5">
        <v>48</v>
      </c>
      <c r="F3" t="s" s="5">
        <v>23</v>
      </c>
      <c r="G3" t="s" s="5">
        <v>11</v>
      </c>
      <c r="H3" t="s" s="5">
        <v>14</v>
      </c>
      <c r="I3" t="s" s="5">
        <v>49</v>
      </c>
      <c r="J3" t="s" s="5">
        <v>50</v>
      </c>
      <c r="K3" t="s" s="5">
        <v>33</v>
      </c>
    </row>
    <row r="4" ht="20.25" customHeight="1">
      <c r="B4" s="24">
        <v>2016</v>
      </c>
      <c r="C4" s="32">
        <v>15111</v>
      </c>
      <c r="D4" s="33">
        <v>149747</v>
      </c>
      <c r="E4" s="33">
        <f>D4-C4</f>
        <v>134636</v>
      </c>
      <c r="F4" s="33">
        <f>'Cashflow '!D4</f>
        <v>3623</v>
      </c>
      <c r="G4" s="33">
        <v>26178</v>
      </c>
      <c r="H4" s="33">
        <v>123569</v>
      </c>
      <c r="I4" s="33">
        <f>G4+H4-C4-E4</f>
        <v>0</v>
      </c>
      <c r="J4" s="33">
        <f>C4-G4</f>
        <v>-11067</v>
      </c>
      <c r="K4" s="33"/>
    </row>
    <row r="5" ht="20.05" customHeight="1">
      <c r="B5" s="28"/>
      <c r="C5" s="17">
        <v>13627</v>
      </c>
      <c r="D5" s="18">
        <v>154292</v>
      </c>
      <c r="E5" s="18">
        <f>D5-C5</f>
        <v>140665</v>
      </c>
      <c r="F5" s="18">
        <f>F4+'Cashflow '!D5</f>
        <v>6607</v>
      </c>
      <c r="G5" s="18">
        <v>26413</v>
      </c>
      <c r="H5" s="18">
        <v>127879</v>
      </c>
      <c r="I5" s="18">
        <f>G5+H5-C5-E5</f>
        <v>0</v>
      </c>
      <c r="J5" s="18">
        <f>C5-G5</f>
        <v>-12786</v>
      </c>
      <c r="K5" s="18"/>
    </row>
    <row r="6" ht="20.05" customHeight="1">
      <c r="B6" s="28"/>
      <c r="C6" s="17">
        <v>9406</v>
      </c>
      <c r="D6" s="18">
        <v>159948</v>
      </c>
      <c r="E6" s="18">
        <f>D6-C6</f>
        <v>150542</v>
      </c>
      <c r="F6" s="18">
        <f>F5+'Cashflow '!D6</f>
        <v>9754</v>
      </c>
      <c r="G6" s="18">
        <v>25845</v>
      </c>
      <c r="H6" s="18">
        <v>134103</v>
      </c>
      <c r="I6" s="18">
        <f>G6+H6-C6-E6</f>
        <v>0</v>
      </c>
      <c r="J6" s="18">
        <f>C6-G6</f>
        <v>-16439</v>
      </c>
      <c r="K6" s="18"/>
    </row>
    <row r="7" ht="20.05" customHeight="1">
      <c r="B7" s="28"/>
      <c r="C7" s="17">
        <v>12918</v>
      </c>
      <c r="D7" s="18">
        <v>167497</v>
      </c>
      <c r="E7" s="18">
        <f>D7-C7</f>
        <v>154579</v>
      </c>
      <c r="F7" s="18">
        <f>F6+'Cashflow '!D7</f>
        <v>13258</v>
      </c>
      <c r="G7" s="18">
        <v>28461</v>
      </c>
      <c r="H7" s="18">
        <v>139036</v>
      </c>
      <c r="I7" s="18">
        <f>G7+H7-C7-E7</f>
        <v>0</v>
      </c>
      <c r="J7" s="18">
        <f>C7-G7</f>
        <v>-15543</v>
      </c>
      <c r="K7" s="18"/>
    </row>
    <row r="8" ht="20.05" customHeight="1">
      <c r="B8" s="29">
        <v>2017</v>
      </c>
      <c r="C8" s="17">
        <v>18132</v>
      </c>
      <c r="D8" s="18">
        <v>172756</v>
      </c>
      <c r="E8" s="18">
        <f>D8-C8</f>
        <v>154624</v>
      </c>
      <c r="F8" s="18">
        <f>F7+'Cashflow '!D8</f>
        <v>17460</v>
      </c>
      <c r="G8" s="18">
        <v>27807</v>
      </c>
      <c r="H8" s="18">
        <v>144949</v>
      </c>
      <c r="I8" s="18">
        <f>G8+H8-C8-E8</f>
        <v>0</v>
      </c>
      <c r="J8" s="18">
        <f>C8-G8</f>
        <v>-9675</v>
      </c>
      <c r="K8" s="18"/>
    </row>
    <row r="9" ht="20.05" customHeight="1">
      <c r="B9" s="28"/>
      <c r="C9" s="17">
        <v>15711</v>
      </c>
      <c r="D9" s="18">
        <v>178621</v>
      </c>
      <c r="E9" s="18">
        <f>D9-C9</f>
        <v>162910</v>
      </c>
      <c r="F9" s="18">
        <f>F8+'Cashflow '!D9</f>
        <v>21055</v>
      </c>
      <c r="G9" s="18">
        <v>30335</v>
      </c>
      <c r="H9" s="18">
        <v>148286</v>
      </c>
      <c r="I9" s="18">
        <f>G9+H9-C9-E9</f>
        <v>0</v>
      </c>
      <c r="J9" s="18">
        <f>C9-G9</f>
        <v>-14624</v>
      </c>
      <c r="K9" s="18"/>
    </row>
    <row r="10" ht="20.05" customHeight="1">
      <c r="B10" s="28"/>
      <c r="C10" s="17">
        <v>10581</v>
      </c>
      <c r="D10" s="18">
        <v>189536</v>
      </c>
      <c r="E10" s="18">
        <f>D10-C10</f>
        <v>178955</v>
      </c>
      <c r="F10" s="18">
        <f>F9+'Cashflow '!D10</f>
        <v>24481</v>
      </c>
      <c r="G10" s="18">
        <v>32436</v>
      </c>
      <c r="H10" s="18">
        <v>157100</v>
      </c>
      <c r="I10" s="18">
        <f>G10+H10-C10-E10</f>
        <v>0</v>
      </c>
      <c r="J10" s="18">
        <f>C10-G10</f>
        <v>-21855</v>
      </c>
      <c r="K10" s="18"/>
    </row>
    <row r="11" ht="20.05" customHeight="1">
      <c r="B11" s="28"/>
      <c r="C11" s="17">
        <v>10715</v>
      </c>
      <c r="D11" s="18">
        <v>197295</v>
      </c>
      <c r="E11" s="18">
        <f>D11-C11</f>
        <v>186580</v>
      </c>
      <c r="F11" s="18">
        <f>F10+'Cashflow '!D11</f>
        <v>28442</v>
      </c>
      <c r="G11" s="18">
        <v>44793</v>
      </c>
      <c r="H11" s="18">
        <v>152502</v>
      </c>
      <c r="I11" s="18">
        <f>G11+H11-C11-E11</f>
        <v>0</v>
      </c>
      <c r="J11" s="18">
        <f>C11-G11</f>
        <v>-34078</v>
      </c>
      <c r="K11" s="18"/>
    </row>
    <row r="12" ht="20.05" customHeight="1">
      <c r="B12" s="29">
        <v>2018</v>
      </c>
      <c r="C12" s="17">
        <v>12658</v>
      </c>
      <c r="D12" s="18">
        <v>206935</v>
      </c>
      <c r="E12" s="18">
        <f>D12-C12</f>
        <v>194277</v>
      </c>
      <c r="F12" s="18">
        <f>F11+'Cashflow '!D12</f>
        <v>29618</v>
      </c>
      <c r="G12" s="18">
        <v>46110</v>
      </c>
      <c r="H12" s="18">
        <v>160825</v>
      </c>
      <c r="I12" s="18">
        <f>G12+H12-C12-E12</f>
        <v>0</v>
      </c>
      <c r="J12" s="18">
        <f>C12-G12</f>
        <v>-33452</v>
      </c>
      <c r="K12" s="18"/>
    </row>
    <row r="13" ht="20.05" customHeight="1">
      <c r="B13" s="28"/>
      <c r="C13" s="17">
        <v>14148</v>
      </c>
      <c r="D13" s="18">
        <v>211610</v>
      </c>
      <c r="E13" s="18">
        <f>D13-C13</f>
        <v>197462</v>
      </c>
      <c r="F13" s="18">
        <f>F12+'Cashflow '!D13</f>
        <v>33075</v>
      </c>
      <c r="G13" s="18">
        <v>49610</v>
      </c>
      <c r="H13" s="18">
        <v>162000</v>
      </c>
      <c r="I13" s="18">
        <f>G13+H13-C13-E13</f>
        <v>0</v>
      </c>
      <c r="J13" s="18">
        <f>C13-G13</f>
        <v>-35462</v>
      </c>
      <c r="K13" s="18"/>
    </row>
    <row r="14" ht="20.05" customHeight="1">
      <c r="B14" s="28"/>
      <c r="C14" s="17">
        <v>13443</v>
      </c>
      <c r="D14" s="18">
        <v>221538</v>
      </c>
      <c r="E14" s="18">
        <f>D14-C14</f>
        <v>208095</v>
      </c>
      <c r="F14" s="18">
        <f>F13+'Cashflow '!D14</f>
        <v>37225</v>
      </c>
      <c r="G14" s="18">
        <v>51698</v>
      </c>
      <c r="H14" s="18">
        <v>169840</v>
      </c>
      <c r="I14" s="18">
        <f>G14+H14-C14-E14</f>
        <v>0</v>
      </c>
      <c r="J14" s="18">
        <f>C14-G14</f>
        <v>-38255</v>
      </c>
      <c r="K14" s="18"/>
    </row>
    <row r="15" ht="20.05" customHeight="1">
      <c r="B15" s="28"/>
      <c r="C15" s="17">
        <v>16701</v>
      </c>
      <c r="D15" s="18">
        <v>232792</v>
      </c>
      <c r="E15" s="18">
        <f>D15-C15</f>
        <v>216091</v>
      </c>
      <c r="F15" s="18">
        <f>F14+'Cashflow '!D15</f>
        <v>40769</v>
      </c>
      <c r="G15" s="18">
        <v>55164</v>
      </c>
      <c r="H15" s="18">
        <v>177628</v>
      </c>
      <c r="I15" s="18">
        <f>G15+H15-C15-E15</f>
        <v>0</v>
      </c>
      <c r="J15" s="18">
        <f>C15-G15</f>
        <v>-38463</v>
      </c>
      <c r="K15" s="18"/>
    </row>
    <row r="16" ht="20.05" customHeight="1">
      <c r="B16" s="29">
        <v>2019</v>
      </c>
      <c r="C16" s="17">
        <v>19148</v>
      </c>
      <c r="D16" s="18">
        <v>245349</v>
      </c>
      <c r="E16" s="18">
        <f>D16-C16</f>
        <v>226201</v>
      </c>
      <c r="F16" s="18">
        <f>F15+'Cashflow '!D16</f>
        <v>45019</v>
      </c>
      <c r="G16" s="18">
        <v>61877</v>
      </c>
      <c r="H16" s="18">
        <v>183472</v>
      </c>
      <c r="I16" s="18">
        <f>G16+H16-C16-E16</f>
        <v>0</v>
      </c>
      <c r="J16" s="18">
        <f>C16-G16</f>
        <v>-42729</v>
      </c>
      <c r="K16" s="18"/>
    </row>
    <row r="17" ht="20.05" customHeight="1">
      <c r="B17" s="28"/>
      <c r="C17" s="17">
        <v>16587</v>
      </c>
      <c r="D17" s="18">
        <v>257101</v>
      </c>
      <c r="E17" s="18">
        <f>D17-C17</f>
        <v>240514</v>
      </c>
      <c r="F17" s="18">
        <f>F16+'Cashflow '!D17</f>
        <v>48436</v>
      </c>
      <c r="G17" s="18">
        <v>64909</v>
      </c>
      <c r="H17" s="18">
        <v>192192</v>
      </c>
      <c r="I17" s="18">
        <f>G17+H17-C17-E17</f>
        <v>0</v>
      </c>
      <c r="J17" s="18">
        <f>C17-G17</f>
        <v>-48322</v>
      </c>
      <c r="K17" s="18"/>
    </row>
    <row r="18" ht="20.05" customHeight="1">
      <c r="B18" s="28"/>
      <c r="C18" s="17">
        <v>16032</v>
      </c>
      <c r="D18" s="18">
        <v>263044</v>
      </c>
      <c r="E18" s="18">
        <f>D18-C18</f>
        <v>247012</v>
      </c>
      <c r="F18" s="18">
        <f>F17+'Cashflow '!D18</f>
        <v>55149</v>
      </c>
      <c r="G18" s="18">
        <v>68075</v>
      </c>
      <c r="H18" s="18">
        <v>194969</v>
      </c>
      <c r="I18" s="18">
        <f>G18+H18-C18-E18</f>
        <v>0</v>
      </c>
      <c r="J18" s="18">
        <f>C18-G18</f>
        <v>-52043</v>
      </c>
      <c r="K18" s="18"/>
    </row>
    <row r="19" ht="20.05" customHeight="1">
      <c r="B19" s="28"/>
      <c r="C19" s="17">
        <v>18498</v>
      </c>
      <c r="D19" s="18">
        <v>275909</v>
      </c>
      <c r="E19" s="18">
        <f>D19-C19</f>
        <v>257411</v>
      </c>
      <c r="F19" s="18">
        <f>F18+'Cashflow '!D19</f>
        <v>60127</v>
      </c>
      <c r="G19" s="18">
        <v>74467</v>
      </c>
      <c r="H19" s="18">
        <v>201442</v>
      </c>
      <c r="I19" s="18">
        <f>G19+H19-C19-E19</f>
        <v>0</v>
      </c>
      <c r="J19" s="18">
        <f>C19-G19</f>
        <v>-55969</v>
      </c>
      <c r="K19" s="18"/>
    </row>
    <row r="20" ht="20.05" customHeight="1">
      <c r="B20" s="29">
        <v>2020</v>
      </c>
      <c r="C20" s="17">
        <v>19644</v>
      </c>
      <c r="D20" s="18">
        <v>273403</v>
      </c>
      <c r="E20" s="18">
        <f>D20-C20</f>
        <v>253759</v>
      </c>
      <c r="F20" s="18">
        <f>F19+'Cashflow '!D20</f>
        <v>67700</v>
      </c>
      <c r="G20" s="18">
        <v>69744</v>
      </c>
      <c r="H20" s="18">
        <v>203659</v>
      </c>
      <c r="I20" s="18">
        <f>G20+H20-C20-E20</f>
        <v>0</v>
      </c>
      <c r="J20" s="18">
        <f>C20-G20</f>
        <v>-50100</v>
      </c>
      <c r="K20" s="18"/>
    </row>
    <row r="21" ht="20.05" customHeight="1">
      <c r="B21" s="28"/>
      <c r="C21" s="17">
        <v>17742</v>
      </c>
      <c r="D21" s="18">
        <v>278492</v>
      </c>
      <c r="E21" s="18">
        <f>D21-C21</f>
        <v>260750</v>
      </c>
      <c r="F21" s="18">
        <f>F20+'Cashflow '!D21</f>
        <v>72407</v>
      </c>
      <c r="G21" s="18">
        <v>71170</v>
      </c>
      <c r="H21" s="18">
        <v>207322</v>
      </c>
      <c r="I21" s="18">
        <f>G21+H21-C21-E21</f>
        <v>0</v>
      </c>
      <c r="J21" s="18">
        <f>C21-G21</f>
        <v>-53428</v>
      </c>
      <c r="K21" s="18"/>
    </row>
    <row r="22" ht="20.05" customHeight="1">
      <c r="B22" s="28"/>
      <c r="C22" s="17">
        <v>20129</v>
      </c>
      <c r="D22" s="18">
        <v>299243</v>
      </c>
      <c r="E22" s="18">
        <f>D22-C22</f>
        <v>279114</v>
      </c>
      <c r="F22" s="18">
        <f>F21+'Cashflow '!D22</f>
        <v>77407</v>
      </c>
      <c r="G22" s="18">
        <v>86323</v>
      </c>
      <c r="H22" s="18">
        <v>212920</v>
      </c>
      <c r="I22" s="18">
        <f>G22+H22-C22-E22</f>
        <v>0</v>
      </c>
      <c r="J22" s="18">
        <f>C22-G22</f>
        <v>-66194</v>
      </c>
      <c r="K22" s="18"/>
    </row>
    <row r="23" ht="20.05" customHeight="1">
      <c r="B23" s="28"/>
      <c r="C23" s="17">
        <v>26465</v>
      </c>
      <c r="D23" s="18">
        <v>319616</v>
      </c>
      <c r="E23" s="18">
        <f>D23-C23</f>
        <v>293151</v>
      </c>
      <c r="F23" s="18">
        <f>F22+'Cashflow '!D23</f>
        <v>83155</v>
      </c>
      <c r="G23" s="18">
        <v>97072</v>
      </c>
      <c r="H23" s="18">
        <v>222544</v>
      </c>
      <c r="I23" s="18">
        <f>G23+H23-C23-E23</f>
        <v>0</v>
      </c>
      <c r="J23" s="18">
        <f>C23-G23</f>
        <v>-70607</v>
      </c>
      <c r="K23" s="35"/>
    </row>
    <row r="24" ht="20.05" customHeight="1">
      <c r="B24" s="29">
        <v>2021</v>
      </c>
      <c r="C24" s="17">
        <v>26622</v>
      </c>
      <c r="D24" s="18">
        <v>327095</v>
      </c>
      <c r="E24" s="18">
        <f>D24-C24</f>
        <v>300473</v>
      </c>
      <c r="F24" s="18">
        <f>F23+'Cashflow '!D24</f>
        <v>85747</v>
      </c>
      <c r="G24" s="18">
        <v>97082</v>
      </c>
      <c r="H24" s="18">
        <v>230013</v>
      </c>
      <c r="I24" s="18">
        <f>G24+H24-C24-E24</f>
        <v>0</v>
      </c>
      <c r="J24" s="18">
        <f>C24-G24</f>
        <v>-70460</v>
      </c>
      <c r="K24" s="18"/>
    </row>
    <row r="25" ht="20.05" customHeight="1">
      <c r="B25" s="28"/>
      <c r="C25" s="17">
        <v>23630</v>
      </c>
      <c r="D25" s="18">
        <v>335387</v>
      </c>
      <c r="E25" s="18">
        <f>D25-C25</f>
        <v>311757</v>
      </c>
      <c r="F25" s="18">
        <f>F24+'Cashflow '!D25</f>
        <v>89983</v>
      </c>
      <c r="G25" s="18">
        <v>97822</v>
      </c>
      <c r="H25" s="18">
        <v>237565</v>
      </c>
      <c r="I25" s="18">
        <f>G25+H25-C25-E25</f>
        <v>0</v>
      </c>
      <c r="J25" s="18">
        <f>C25-G25</f>
        <v>-74192</v>
      </c>
      <c r="K25" s="18"/>
    </row>
    <row r="26" ht="20.05" customHeight="1">
      <c r="B26" s="28"/>
      <c r="C26" s="17">
        <v>23719</v>
      </c>
      <c r="D26" s="18">
        <v>347403</v>
      </c>
      <c r="E26" s="18">
        <f>D26-C26</f>
        <v>323684</v>
      </c>
      <c r="F26" s="18">
        <f>F25+'Cashflow '!D26</f>
        <v>93780</v>
      </c>
      <c r="G26" s="18">
        <v>102836</v>
      </c>
      <c r="H26" s="18">
        <v>244567</v>
      </c>
      <c r="I26" s="18">
        <f>G26+H26-C26-E26</f>
        <v>0</v>
      </c>
      <c r="J26" s="18">
        <f>C26-G26</f>
        <v>-79117</v>
      </c>
      <c r="K26" s="18"/>
    </row>
    <row r="27" ht="20.05" customHeight="1">
      <c r="B27" s="28"/>
      <c r="C27" s="17">
        <v>20945</v>
      </c>
      <c r="D27" s="18">
        <v>319616</v>
      </c>
      <c r="E27" s="18">
        <f>D27-C27</f>
        <v>298671</v>
      </c>
      <c r="F27" s="18">
        <f>F26+'Cashflow '!D27</f>
        <v>100297</v>
      </c>
      <c r="G27" s="18">
        <v>97072</v>
      </c>
      <c r="H27" s="18">
        <f>D27-G27</f>
        <v>222544</v>
      </c>
      <c r="I27" s="18">
        <f>G27+H27-C27-E27</f>
        <v>0</v>
      </c>
      <c r="J27" s="18">
        <f>C27-G27</f>
        <v>-76127</v>
      </c>
      <c r="K27" s="21"/>
    </row>
    <row r="28" ht="20.05" customHeight="1">
      <c r="B28" s="29">
        <v>2022</v>
      </c>
      <c r="C28" s="17">
        <f>C27+'Cashflow '!F28+'Cashflow '!G28+100+'Cashflow '!J28</f>
        <v>20886</v>
      </c>
      <c r="D28" s="18">
        <v>357096</v>
      </c>
      <c r="E28" s="18">
        <f>D28-C28</f>
        <v>336210</v>
      </c>
      <c r="F28" s="18">
        <f>F27+'Cashflow '!D28</f>
        <v>108070</v>
      </c>
      <c r="G28" s="18">
        <v>103092</v>
      </c>
      <c r="H28" s="18">
        <f>D28-G28</f>
        <v>254004</v>
      </c>
      <c r="I28" s="18">
        <f>G28+H28-C28-E28</f>
        <v>0</v>
      </c>
      <c r="J28" s="18">
        <f>C28-G28</f>
        <v>-82206</v>
      </c>
      <c r="K28" s="18">
        <f>J28</f>
        <v>-82206</v>
      </c>
    </row>
    <row r="29" ht="20.05" customHeight="1">
      <c r="B29" s="28"/>
      <c r="C29" s="17"/>
      <c r="D29" s="18"/>
      <c r="E29" s="18"/>
      <c r="F29" s="18"/>
      <c r="G29" s="18"/>
      <c r="H29" s="18"/>
      <c r="I29" s="18"/>
      <c r="J29" s="18"/>
      <c r="K29" s="18">
        <f>'Model'!F31</f>
        <v>-70615.924382387195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21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1.4141" style="36" customWidth="1"/>
    <col min="2" max="4" width="11.8906" style="36" customWidth="1"/>
    <col min="5" max="16384" width="16.3516" style="36" customWidth="1"/>
  </cols>
  <sheetData>
    <row r="1" ht="27.65" customHeight="1">
      <c r="A1" t="s" s="2">
        <v>51</v>
      </c>
      <c r="B1" s="2"/>
      <c r="C1" s="2"/>
      <c r="D1" s="2"/>
    </row>
    <row r="2" ht="20.25" customHeight="1">
      <c r="A2" s="4"/>
      <c r="B2" t="s" s="5">
        <v>52</v>
      </c>
      <c r="C2" t="s" s="5">
        <v>53</v>
      </c>
      <c r="D2" t="s" s="5">
        <v>54</v>
      </c>
    </row>
    <row r="3" ht="20.25" customHeight="1">
      <c r="A3" s="24">
        <v>2018</v>
      </c>
      <c r="B3" s="32">
        <v>1017.330017</v>
      </c>
      <c r="C3" s="8"/>
      <c r="D3" s="8"/>
    </row>
    <row r="4" ht="20.05" customHeight="1">
      <c r="A4" s="28"/>
      <c r="B4" s="17">
        <v>1217.26001</v>
      </c>
      <c r="C4" s="21"/>
      <c r="D4" s="21"/>
    </row>
    <row r="5" ht="20.05" customHeight="1">
      <c r="A5" s="28"/>
      <c r="B5" s="17">
        <v>1076.77002</v>
      </c>
      <c r="C5" s="21"/>
      <c r="D5" s="21"/>
    </row>
    <row r="6" ht="20.05" customHeight="1">
      <c r="A6" s="28"/>
      <c r="B6" s="17">
        <v>1116.369995</v>
      </c>
      <c r="C6" s="21"/>
      <c r="D6" s="21"/>
    </row>
    <row r="7" ht="20.05" customHeight="1">
      <c r="A7" s="29">
        <v>2019</v>
      </c>
      <c r="B7" s="17">
        <v>1188.47998</v>
      </c>
      <c r="C7" s="21"/>
      <c r="D7" s="21"/>
    </row>
    <row r="8" ht="20.05" customHeight="1">
      <c r="A8" s="28"/>
      <c r="B8" s="17">
        <v>1216.680054</v>
      </c>
      <c r="C8" s="21"/>
      <c r="D8" s="21"/>
    </row>
    <row r="9" ht="20.05" customHeight="1">
      <c r="A9" s="28"/>
      <c r="B9" s="17">
        <v>1260.109985</v>
      </c>
      <c r="C9" s="21"/>
      <c r="D9" s="21"/>
    </row>
    <row r="10" ht="20.05" customHeight="1">
      <c r="A10" s="28"/>
      <c r="B10" s="17">
        <v>1434.22998</v>
      </c>
      <c r="C10" s="21"/>
      <c r="D10" s="21"/>
    </row>
    <row r="11" ht="20.05" customHeight="1">
      <c r="A11" s="29">
        <v>2020</v>
      </c>
      <c r="B11" s="17">
        <v>1162.810059</v>
      </c>
      <c r="C11" s="21"/>
      <c r="D11" s="21"/>
    </row>
    <row r="12" ht="20.05" customHeight="1">
      <c r="A12" s="28"/>
      <c r="B12" s="17">
        <v>1413.609985</v>
      </c>
      <c r="C12" s="21"/>
      <c r="D12" s="21"/>
    </row>
    <row r="13" ht="20.05" customHeight="1">
      <c r="A13" s="28"/>
      <c r="B13" s="17">
        <v>1469.599976</v>
      </c>
      <c r="C13" s="21"/>
      <c r="D13" s="21"/>
    </row>
    <row r="14" ht="20.05" customHeight="1">
      <c r="A14" s="28"/>
      <c r="B14" s="17">
        <v>1751.880005</v>
      </c>
      <c r="C14" s="21"/>
      <c r="D14" s="21"/>
    </row>
    <row r="15" ht="20.05" customHeight="1">
      <c r="A15" s="29">
        <v>2021</v>
      </c>
      <c r="B15" s="17">
        <v>2068.629883</v>
      </c>
      <c r="C15" s="21"/>
      <c r="D15" s="21"/>
    </row>
    <row r="16" ht="20.05" customHeight="1">
      <c r="A16" s="28"/>
      <c r="B16" s="17">
        <v>2527.37</v>
      </c>
      <c r="C16" s="21"/>
      <c r="D16" s="21"/>
    </row>
    <row r="17" ht="20.05" customHeight="1">
      <c r="A17" s="28"/>
      <c r="B17" s="17">
        <v>2729.35</v>
      </c>
      <c r="C17" s="21"/>
      <c r="D17" s="21"/>
    </row>
    <row r="18" ht="20.05" customHeight="1">
      <c r="A18" s="28"/>
      <c r="B18" s="17">
        <v>2893.59</v>
      </c>
      <c r="C18" s="21"/>
      <c r="D18" s="18">
        <v>3194.270234658220</v>
      </c>
    </row>
    <row r="19" ht="20.05" customHeight="1">
      <c r="A19" s="29">
        <v>2022</v>
      </c>
      <c r="B19" s="17">
        <v>2757.57</v>
      </c>
      <c r="C19" s="21"/>
      <c r="D19" s="18">
        <v>3782.570106642890</v>
      </c>
    </row>
    <row r="20" ht="20.05" customHeight="1">
      <c r="A20" s="28"/>
      <c r="B20" s="17">
        <v>2299.33</v>
      </c>
      <c r="C20" s="18">
        <f>B20</f>
        <v>2299.33</v>
      </c>
      <c r="D20" s="18">
        <v>3224.428845325390</v>
      </c>
    </row>
    <row r="21" ht="20.05" customHeight="1">
      <c r="A21" s="28"/>
      <c r="B21" s="17"/>
      <c r="C21" s="18">
        <f>'Model'!F44</f>
        <v>2923.497694382140</v>
      </c>
      <c r="D21" s="21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