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<sst xmlns="http://schemas.openxmlformats.org/spreadsheetml/2006/main" uniqueCount="96">
  <si>
    <t>Financial model</t>
  </si>
  <si>
    <t>Rpbn</t>
  </si>
  <si>
    <t xml:space="preserve"> 4Q 2022</t>
  </si>
  <si>
    <t>Cash Flow</t>
  </si>
  <si>
    <t>Growth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</si>
  <si>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</si>
  <si>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</si>
  <si>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</si>
  <si>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</si>
  <si>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</si>
  <si>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</si>
  <si>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</si>
  <si>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</si>
  <si>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Revolver </t>
  </si>
  <si>
    <t>Payout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</si>
  <si>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</si>
  <si>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</si>
  <si>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</si>
  <si>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</si>
  <si>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</si>
  <si>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Income statement </t>
  </si>
  <si>
    <t>Non cash costs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</si>
  <si>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</si>
  <si>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</si>
  <si>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</si>
  <si>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</si>
  <si>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</si>
  <si>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</si>
  <si>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</si>
  <si>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</si>
  <si>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</si>
  <si>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</si>
  <si>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</si>
  <si>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</si>
  <si>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</si>
  <si>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</si>
  <si>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</si>
  <si>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</si>
  <si>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</si>
  <si>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</si>
  <si>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</si>
  <si>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</si>
  <si>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</si>
  <si>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</si>
  <si>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Rpbn </t>
  </si>
  <si>
    <t>FX loss (gain)</t>
  </si>
  <si>
    <t xml:space="preserve">Net income </t>
  </si>
  <si>
    <t xml:space="preserve">Sales growth </t>
  </si>
  <si>
    <t>Cash flow Quarterly</t>
  </si>
  <si>
    <t xml:space="preserve">Receipts </t>
  </si>
  <si>
    <t xml:space="preserve">Investment </t>
  </si>
  <si>
    <t>Equity</t>
  </si>
  <si>
    <t xml:space="preserve">Free cashflow </t>
  </si>
  <si>
    <t>Balance sheet</t>
  </si>
  <si>
    <t xml:space="preserve">  Cash</t>
  </si>
  <si>
    <t xml:space="preserve">Assets </t>
  </si>
  <si>
    <t>Other assets</t>
  </si>
  <si>
    <t xml:space="preserve">Total Asset </t>
  </si>
  <si>
    <t xml:space="preserve">Check </t>
  </si>
  <si>
    <t>Share price</t>
  </si>
  <si>
    <t>GJTL</t>
  </si>
  <si>
    <t>Previous</t>
  </si>
  <si>
    <t>Capital-1</t>
  </si>
  <si>
    <t xml:space="preserve">Total </t>
  </si>
  <si>
    <t>Table 1-1</t>
  </si>
  <si>
    <t>Market value</t>
  </si>
  <si>
    <t>INKP</t>
  </si>
  <si>
    <t xml:space="preserve">capital history </t>
  </si>
  <si>
    <t>of market value</t>
  </si>
  <si>
    <t>paid every year since 2019</t>
  </si>
  <si>
    <t xml:space="preserve">Start date </t>
  </si>
  <si>
    <t xml:space="preserve">Number of quarters </t>
  </si>
  <si>
    <t>Market value $m</t>
  </si>
  <si>
    <t xml:space="preserve">million dollars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</si>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</sst>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_);[Red]\(#,##0%\)"/>
    <numFmt numFmtId="60" formatCode="#,##0%"/>
    <numFmt numFmtId="61" formatCode="#,##0.0"/>
    <numFmt numFmtId="62" formatCode="[$IDR]0"/>
    <numFmt numFmtId="63" formatCode="d mmm yyyy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 wrapText="1"/>
    </xf>
    <xf numFmtId="59" fontId="0" borderId="4" applyNumberFormat="1" applyFont="1" applyFill="0" applyBorder="1" applyAlignment="1" applyProtection="0">
      <alignment horizontal="right" vertical="center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 wrapText="1"/>
    </xf>
    <xf numFmtId="38" fontId="0" borderId="7" applyNumberFormat="1" applyFont="1" applyFill="0" applyBorder="1" applyAlignment="1" applyProtection="0">
      <alignment horizontal="right" vertical="center" wrapText="1"/>
    </xf>
    <xf numFmtId="60" fontId="0" borderId="6" applyNumberFormat="1" applyFont="1" applyFill="0" applyBorder="1" applyAlignment="1" applyProtection="0">
      <alignment horizontal="right" vertical="center" wrapText="1"/>
    </xf>
    <xf numFmtId="60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horizontal="right" vertical="center" wrapText="1"/>
    </xf>
    <xf numFmtId="3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horizontal="right" vertical="center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'!$E$3:$E$19</c:f>
              <c:numCache>
                <c:ptCount val="17"/>
                <c:pt idx="0">
                  <c:v>0.000000</c:v>
                </c:pt>
                <c:pt idx="1">
                  <c:v>-145.000000</c:v>
                </c:pt>
                <c:pt idx="2">
                  <c:v>549.000000</c:v>
                </c:pt>
                <c:pt idx="3">
                  <c:v>53.000000</c:v>
                </c:pt>
                <c:pt idx="4">
                  <c:v>3.000000</c:v>
                </c:pt>
                <c:pt idx="5">
                  <c:v>3.000000</c:v>
                </c:pt>
                <c:pt idx="6">
                  <c:v>16.000000</c:v>
                </c:pt>
                <c:pt idx="7">
                  <c:v>3.000000</c:v>
                </c:pt>
                <c:pt idx="8">
                  <c:v>770.000000</c:v>
                </c:pt>
                <c:pt idx="9">
                  <c:v>1003.000000</c:v>
                </c:pt>
                <c:pt idx="10">
                  <c:v>1314.000000</c:v>
                </c:pt>
                <c:pt idx="11">
                  <c:v>1269.000000</c:v>
                </c:pt>
                <c:pt idx="12">
                  <c:v>1190.000000</c:v>
                </c:pt>
                <c:pt idx="13">
                  <c:v>1239.000000</c:v>
                </c:pt>
                <c:pt idx="14">
                  <c:v>561.000000</c:v>
                </c:pt>
                <c:pt idx="15">
                  <c:v>-1162.000000</c:v>
                </c:pt>
                <c:pt idx="16">
                  <c:v>-1247.300000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'!$F$3:$F$19</c:f>
              <c:numCache>
                <c:ptCount val="17"/>
                <c:pt idx="0">
                  <c:v>0.000000</c:v>
                </c:pt>
                <c:pt idx="1">
                  <c:v>-16.000000</c:v>
                </c:pt>
                <c:pt idx="2">
                  <c:v>129.000000</c:v>
                </c:pt>
                <c:pt idx="3">
                  <c:v>112.000000</c:v>
                </c:pt>
                <c:pt idx="4">
                  <c:v>112.000000</c:v>
                </c:pt>
                <c:pt idx="5">
                  <c:v>53.000000</c:v>
                </c:pt>
                <c:pt idx="6">
                  <c:v>8.000000</c:v>
                </c:pt>
                <c:pt idx="7">
                  <c:v>-27.000000</c:v>
                </c:pt>
                <c:pt idx="8">
                  <c:v>-121.000000</c:v>
                </c:pt>
                <c:pt idx="9">
                  <c:v>-156.000000</c:v>
                </c:pt>
                <c:pt idx="10">
                  <c:v>-191.000000</c:v>
                </c:pt>
                <c:pt idx="11">
                  <c:v>-191.000000</c:v>
                </c:pt>
                <c:pt idx="12">
                  <c:v>-240.000000</c:v>
                </c:pt>
                <c:pt idx="13">
                  <c:v>-240.000000</c:v>
                </c:pt>
                <c:pt idx="14">
                  <c:v>-240.000000</c:v>
                </c:pt>
                <c:pt idx="15">
                  <c:v>-240.000000</c:v>
                </c:pt>
                <c:pt idx="16">
                  <c:v>-274.700000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'!$G$3:$G$19</c:f>
              <c:numCache>
                <c:ptCount val="17"/>
                <c:pt idx="0">
                  <c:v>0.000000</c:v>
                </c:pt>
                <c:pt idx="1">
                  <c:v>-161.000000</c:v>
                </c:pt>
                <c:pt idx="2">
                  <c:v>678.000000</c:v>
                </c:pt>
                <c:pt idx="3">
                  <c:v>165.000000</c:v>
                </c:pt>
                <c:pt idx="4">
                  <c:v>115.000000</c:v>
                </c:pt>
                <c:pt idx="5">
                  <c:v>56.000000</c:v>
                </c:pt>
                <c:pt idx="6">
                  <c:v>24.000000</c:v>
                </c:pt>
                <c:pt idx="7">
                  <c:v>-24.000000</c:v>
                </c:pt>
                <c:pt idx="8">
                  <c:v>649.000000</c:v>
                </c:pt>
                <c:pt idx="9">
                  <c:v>847.000000</c:v>
                </c:pt>
                <c:pt idx="10">
                  <c:v>1123.000000</c:v>
                </c:pt>
                <c:pt idx="11">
                  <c:v>1078.000000</c:v>
                </c:pt>
                <c:pt idx="12">
                  <c:v>950.000000</c:v>
                </c:pt>
                <c:pt idx="13">
                  <c:v>999.000000</c:v>
                </c:pt>
                <c:pt idx="14">
                  <c:v>321.000000</c:v>
                </c:pt>
                <c:pt idx="15">
                  <c:v>-1402.000000</c:v>
                </c:pt>
                <c:pt idx="16">
                  <c:v>-1522.000000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600"/>
        <c:minorUnit val="8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86407"/>
          <c:y val="0.0562821"/>
          <c:w val="0.36530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685969</xdr:colOff>
      <xdr:row>3</xdr:row>
      <xdr:rowOff>163074</xdr:rowOff>
    </xdr:from>
    <xdr:to>
      <xdr:col>13</xdr:col>
      <xdr:colOff>816047</xdr:colOff>
      <xdr:row>49</xdr:row>
      <xdr:rowOff>128866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7669" y="1022229"/>
          <a:ext cx="8842279" cy="11681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761511</xdr:colOff>
      <xdr:row>21</xdr:row>
      <xdr:rowOff>225730</xdr:rowOff>
    </xdr:from>
    <xdr:to>
      <xdr:col>4</xdr:col>
      <xdr:colOff>651720</xdr:colOff>
      <xdr:row>30</xdr:row>
      <xdr:rowOff>351650</xdr:rowOff>
    </xdr:to>
    <xdr:graphicFrame>
      <xdr:nvGraphicFramePr>
        <xdr:cNvPr id="4" name="2D Line Chart"/>
        <xdr:cNvGraphicFramePr/>
      </xdr:nvGraphicFramePr>
      <xdr:xfrm>
        <a:off x="761511" y="5769280"/>
        <a:ext cx="3649410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1" customWidth="1"/>
    <col min="2" max="2" width="16.4375" style="1" customWidth="1"/>
    <col min="3" max="6" width="8.94531" style="1" customWidth="1"/>
    <col min="7" max="16384" width="16.3516" style="1" customWidth="1"/>
  </cols>
  <sheetData>
    <row r="1" ht="19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AVERAGE('Sales'!H28:H31)</f>
        <v>0.0275663248224659</v>
      </c>
      <c r="D4" s="8"/>
      <c r="E4" s="8"/>
      <c r="F4" s="8">
        <f>AVERAGE(C5:F5)</f>
        <v>0.0425</v>
      </c>
    </row>
    <row r="5" ht="20.05" customHeight="1">
      <c r="B5" t="s" s="9">
        <v>4</v>
      </c>
      <c r="C5" s="10">
        <v>0</v>
      </c>
      <c r="D5" s="11">
        <v>0.07000000000000001</v>
      </c>
      <c r="E5" s="11">
        <v>0.05</v>
      </c>
      <c r="F5" s="11">
        <v>0.05</v>
      </c>
    </row>
    <row r="6" ht="20.05" customHeight="1">
      <c r="B6" t="s" s="9">
        <v>5</v>
      </c>
      <c r="C6" s="12">
        <f>'Sales'!C31*(1+C5)</f>
        <v>4144.8</v>
      </c>
      <c r="D6" s="13">
        <f>C6*(1+D5)</f>
        <v>4434.936</v>
      </c>
      <c r="E6" s="13">
        <f>D6*(1+E5)</f>
        <v>4656.6828</v>
      </c>
      <c r="F6" s="13">
        <f>E6*(1+F5)</f>
        <v>4889.51694</v>
      </c>
    </row>
    <row r="7" ht="20.05" customHeight="1">
      <c r="B7" t="s" s="9">
        <v>6</v>
      </c>
      <c r="C7" s="14">
        <f>AVERAGE('Sales'!J30)</f>
        <v>-0.931104789471243</v>
      </c>
      <c r="D7" s="15">
        <f>C7</f>
        <v>-0.931104789471243</v>
      </c>
      <c r="E7" s="15">
        <f>D7</f>
        <v>-0.931104789471243</v>
      </c>
      <c r="F7" s="15">
        <f>E7</f>
        <v>-0.931104789471243</v>
      </c>
    </row>
    <row r="8" ht="20.05" customHeight="1">
      <c r="B8" t="s" s="9">
        <v>7</v>
      </c>
      <c r="C8" s="16">
        <f>C6*C7</f>
        <v>-3859.243131400410</v>
      </c>
      <c r="D8" s="17">
        <f>D6*D7</f>
        <v>-4129.390150598440</v>
      </c>
      <c r="E8" s="17">
        <f>E6*E7</f>
        <v>-4335.859658128360</v>
      </c>
      <c r="F8" s="17">
        <f>F6*F7</f>
        <v>-4552.652641034780</v>
      </c>
    </row>
    <row r="9" ht="20.05" customHeight="1">
      <c r="B9" t="s" s="9">
        <v>8</v>
      </c>
      <c r="C9" s="18">
        <f>C6+C8</f>
        <v>285.556868599590</v>
      </c>
      <c r="D9" s="19">
        <f>D6+D8</f>
        <v>305.545849401560</v>
      </c>
      <c r="E9" s="19">
        <f>E6+E8</f>
        <v>320.823141871640</v>
      </c>
      <c r="F9" s="19">
        <f>F6+F8</f>
        <v>336.864298965220</v>
      </c>
    </row>
    <row r="10" ht="20.05" customHeight="1">
      <c r="B10" t="s" s="9">
        <v>9</v>
      </c>
      <c r="C10" s="16">
        <f>AVERAGE('Cashflow'!E28:E31)</f>
        <v>-95.22499999999999</v>
      </c>
      <c r="D10" s="17">
        <f>C10</f>
        <v>-95.22499999999999</v>
      </c>
      <c r="E10" s="17">
        <f>D10</f>
        <v>-95.22499999999999</v>
      </c>
      <c r="F10" s="17">
        <f>E10</f>
        <v>-95.22499999999999</v>
      </c>
    </row>
    <row r="11" ht="20.05" customHeight="1">
      <c r="B11" t="s" s="9">
        <v>10</v>
      </c>
      <c r="C11" s="16">
        <f>'Cashflow'!I31</f>
        <v>-5.5</v>
      </c>
      <c r="D11" s="17">
        <f>C11</f>
        <v>-5.5</v>
      </c>
      <c r="E11" s="17">
        <f>D11</f>
        <v>-5.5</v>
      </c>
      <c r="F11" s="17">
        <f>E11</f>
        <v>-5.5</v>
      </c>
    </row>
    <row r="12" ht="20.05" customHeight="1">
      <c r="B12" t="s" s="9">
        <v>11</v>
      </c>
      <c r="C12" s="16">
        <f>C13+C16+C14</f>
        <v>-184.831868599590</v>
      </c>
      <c r="D12" s="17">
        <f>D13+D16+D14</f>
        <v>-204.820849401560</v>
      </c>
      <c r="E12" s="17">
        <f>E13+E16+E14</f>
        <v>-220.098141871640</v>
      </c>
      <c r="F12" s="17">
        <f>F13+F16+F14</f>
        <v>-236.139298965220</v>
      </c>
    </row>
    <row r="13" ht="20.05" customHeight="1">
      <c r="B13" t="s" s="9">
        <v>12</v>
      </c>
      <c r="C13" s="16">
        <f>-('Balance Sheet '!G26)/20</f>
        <v>-574.05</v>
      </c>
      <c r="D13" s="17">
        <f>-C28/20</f>
        <v>-545.0725</v>
      </c>
      <c r="E13" s="17">
        <f>-D28/20</f>
        <v>-517.543875</v>
      </c>
      <c r="F13" s="17">
        <f>-E28/20</f>
        <v>-491.39168125</v>
      </c>
    </row>
    <row r="14" ht="20.05" customHeight="1">
      <c r="B14" t="s" s="9">
        <v>13</v>
      </c>
      <c r="C14" s="16">
        <f>-MIN(0,C17)</f>
        <v>410.109505120328</v>
      </c>
      <c r="D14" s="17">
        <f>-MIN(C29,D17)</f>
        <v>365.140820478752</v>
      </c>
      <c r="E14" s="17">
        <f>-MIN(D29,E17)</f>
        <v>325.390361502688</v>
      </c>
      <c r="F14" s="17">
        <f>-MIN(E29,F17)</f>
        <v>286.405242077824</v>
      </c>
    </row>
    <row r="15" ht="20.05" customHeight="1">
      <c r="B15" t="s" s="9">
        <v>14</v>
      </c>
      <c r="C15" s="20">
        <v>0.2</v>
      </c>
      <c r="D15" s="17"/>
      <c r="E15" s="17"/>
      <c r="F15" s="17"/>
    </row>
    <row r="16" ht="20.05" customHeight="1">
      <c r="B16" t="s" s="9">
        <v>15</v>
      </c>
      <c r="C16" s="16">
        <f>IF(C23&gt;0,-C23*$C$15,0)</f>
        <v>-20.891373719918</v>
      </c>
      <c r="D16" s="17">
        <f>IF(D23&gt;0,-D23*$C$15,0)</f>
        <v>-24.889169880312</v>
      </c>
      <c r="E16" s="17">
        <f>IF(E23&gt;0,-E23*$C$15,0)</f>
        <v>-27.944628374328</v>
      </c>
      <c r="F16" s="17">
        <f>IF(F23&gt;0,-F23*$C$15,0)</f>
        <v>-31.152859793044</v>
      </c>
    </row>
    <row r="17" ht="20.05" customHeight="1">
      <c r="B17" t="s" s="9">
        <v>16</v>
      </c>
      <c r="C17" s="16">
        <f>C9+C10+C11+C13+C16</f>
        <v>-410.109505120328</v>
      </c>
      <c r="D17" s="17">
        <f>D9+D10+D11+D13+D16</f>
        <v>-365.140820478752</v>
      </c>
      <c r="E17" s="17">
        <f>E9+E10+E11+E13+E16</f>
        <v>-325.390361502688</v>
      </c>
      <c r="F17" s="17">
        <f>F9+F10+F11+F13+F16</f>
        <v>-286.405242077824</v>
      </c>
    </row>
    <row r="18" ht="20.05" customHeight="1">
      <c r="B18" t="s" s="9">
        <v>17</v>
      </c>
      <c r="C18" s="16">
        <f>'Balance Sheet '!B26</f>
        <v>839</v>
      </c>
      <c r="D18" s="17">
        <f>C20</f>
        <v>839</v>
      </c>
      <c r="E18" s="17">
        <f>D20</f>
        <v>839</v>
      </c>
      <c r="F18" s="17">
        <f>E20</f>
        <v>839</v>
      </c>
    </row>
    <row r="19" ht="20.05" customHeight="1">
      <c r="B19" t="s" s="9">
        <v>18</v>
      </c>
      <c r="C19" s="16">
        <f>C9+C10+C11+C12</f>
        <v>0</v>
      </c>
      <c r="D19" s="17">
        <f>D9+D10+D11+D12</f>
        <v>0</v>
      </c>
      <c r="E19" s="17">
        <f>E9+E10+E11+E12</f>
        <v>0</v>
      </c>
      <c r="F19" s="17">
        <f>F9+F10+F11+F12</f>
        <v>0</v>
      </c>
    </row>
    <row r="20" ht="20.05" customHeight="1">
      <c r="B20" t="s" s="9">
        <v>19</v>
      </c>
      <c r="C20" s="16">
        <f>C18+C19</f>
        <v>839</v>
      </c>
      <c r="D20" s="17">
        <f>D18+D19</f>
        <v>839</v>
      </c>
      <c r="E20" s="17">
        <f>E18+E19</f>
        <v>839</v>
      </c>
      <c r="F20" s="17">
        <f>F18+F19</f>
        <v>839</v>
      </c>
    </row>
    <row r="21" ht="20.05" customHeight="1">
      <c r="B21" t="s" s="21">
        <v>20</v>
      </c>
      <c r="C21" s="22"/>
      <c r="D21" s="23"/>
      <c r="E21" s="23"/>
      <c r="F21" s="24"/>
    </row>
    <row r="22" ht="20.05" customHeight="1">
      <c r="B22" t="s" s="9">
        <v>21</v>
      </c>
      <c r="C22" s="16">
        <f>-AVERAGE('Sales'!E28:E31)</f>
        <v>-181.1</v>
      </c>
      <c r="D22" s="17">
        <f>C22</f>
        <v>-181.1</v>
      </c>
      <c r="E22" s="17">
        <f>D22</f>
        <v>-181.1</v>
      </c>
      <c r="F22" s="17">
        <f>E22</f>
        <v>-181.1</v>
      </c>
    </row>
    <row r="23" ht="20.05" customHeight="1">
      <c r="B23" t="s" s="9">
        <v>22</v>
      </c>
      <c r="C23" s="16">
        <f>C6+C8+C22</f>
        <v>104.456868599590</v>
      </c>
      <c r="D23" s="17">
        <f>D6+D8+D22</f>
        <v>124.445849401560</v>
      </c>
      <c r="E23" s="17">
        <f>E6+E8+E22</f>
        <v>139.723141871640</v>
      </c>
      <c r="F23" s="17">
        <f>F6+F8+F22</f>
        <v>155.764298965220</v>
      </c>
    </row>
    <row r="24" ht="20.05" customHeight="1">
      <c r="B24" t="s" s="21">
        <v>23</v>
      </c>
      <c r="C24" s="22"/>
      <c r="D24" s="23"/>
      <c r="E24" s="23"/>
      <c r="F24" s="24"/>
    </row>
    <row r="25" ht="20.05" customHeight="1">
      <c r="B25" t="s" s="9">
        <v>24</v>
      </c>
      <c r="C25" s="16">
        <f>'Balance Sheet '!D26+'Balance Sheet '!E26-C10</f>
        <v>30129.225</v>
      </c>
      <c r="D25" s="17">
        <f>C25-D10</f>
        <v>30224.45</v>
      </c>
      <c r="E25" s="17">
        <f>D25-E10</f>
        <v>30319.675</v>
      </c>
      <c r="F25" s="17">
        <f>E25-F10</f>
        <v>30414.9</v>
      </c>
    </row>
    <row r="26" ht="20.05" customHeight="1">
      <c r="B26" t="s" s="9">
        <v>25</v>
      </c>
      <c r="C26" s="16">
        <f>'Balance Sheet '!E26-C22</f>
        <v>12605.1</v>
      </c>
      <c r="D26" s="17">
        <f>C26-D22</f>
        <v>12786.2</v>
      </c>
      <c r="E26" s="17">
        <f>D26-E22</f>
        <v>12967.3</v>
      </c>
      <c r="F26" s="17">
        <f>E26-F22</f>
        <v>13148.4</v>
      </c>
    </row>
    <row r="27" ht="20.05" customHeight="1">
      <c r="B27" t="s" s="9">
        <v>26</v>
      </c>
      <c r="C27" s="16">
        <f>C25-C26</f>
        <v>17524.125</v>
      </c>
      <c r="D27" s="17">
        <f>D25-D26</f>
        <v>17438.25</v>
      </c>
      <c r="E27" s="17">
        <f>E25-E26</f>
        <v>17352.375</v>
      </c>
      <c r="F27" s="17">
        <f>F25-F26</f>
        <v>17266.5</v>
      </c>
    </row>
    <row r="28" ht="20.05" customHeight="1">
      <c r="B28" t="s" s="9">
        <v>12</v>
      </c>
      <c r="C28" s="16">
        <f>'Balance Sheet '!G26+C13+C11</f>
        <v>10901.45</v>
      </c>
      <c r="D28" s="17">
        <f>C28+D13+D11</f>
        <v>10350.8775</v>
      </c>
      <c r="E28" s="17">
        <f>D28+E13+E11</f>
        <v>9827.833624999999</v>
      </c>
      <c r="F28" s="17">
        <f>E28+F13+F11</f>
        <v>9330.94194375</v>
      </c>
    </row>
    <row r="29" ht="20.05" customHeight="1">
      <c r="B29" t="s" s="9">
        <v>13</v>
      </c>
      <c r="C29" s="16">
        <f>C14</f>
        <v>410.109505120328</v>
      </c>
      <c r="D29" s="17">
        <f>C29+D14</f>
        <v>775.250325599080</v>
      </c>
      <c r="E29" s="17">
        <f>D29+E14</f>
        <v>1100.640687101770</v>
      </c>
      <c r="F29" s="17">
        <f>E29+F14</f>
        <v>1387.045929179590</v>
      </c>
    </row>
    <row r="30" ht="20.05" customHeight="1">
      <c r="B30" t="s" s="9">
        <v>15</v>
      </c>
      <c r="C30" s="16">
        <f>'Balance Sheet '!H26+C23+C16</f>
        <v>7051.565494879670</v>
      </c>
      <c r="D30" s="17">
        <f>C30+D23+D16</f>
        <v>7151.122174400920</v>
      </c>
      <c r="E30" s="17">
        <f>D30+E23+E16</f>
        <v>7262.900687898230</v>
      </c>
      <c r="F30" s="17">
        <f>E30+F23+F16</f>
        <v>7387.512127070410</v>
      </c>
    </row>
    <row r="31" ht="20.05" customHeight="1">
      <c r="B31" t="s" s="9">
        <v>27</v>
      </c>
      <c r="C31" s="18">
        <f>C28+C29+C30-C20-C27</f>
        <v>-2e-12</v>
      </c>
      <c r="D31" s="19">
        <f>D28+D29+D30-D20-D27</f>
        <v>0</v>
      </c>
      <c r="E31" s="19">
        <f>E28+E29+E30-E20-E27</f>
        <v>0</v>
      </c>
      <c r="F31" s="19">
        <f>F28+F29+F30-F20-F27</f>
        <v>0</v>
      </c>
    </row>
    <row r="32" ht="20.05" customHeight="1">
      <c r="B32" t="s" s="9">
        <v>28</v>
      </c>
      <c r="C32" s="18">
        <f>C20-C28-C29</f>
        <v>-10472.5595051203</v>
      </c>
      <c r="D32" s="19">
        <f>D20-D28-D29</f>
        <v>-10287.1278255991</v>
      </c>
      <c r="E32" s="19">
        <f>E20-E28-E29</f>
        <v>-10089.4743121018</v>
      </c>
      <c r="F32" s="19">
        <f>F20-F28-F29</f>
        <v>-9878.987872929591</v>
      </c>
    </row>
    <row r="33" ht="20.05" customHeight="1">
      <c r="B33" t="s" s="21">
        <v>29</v>
      </c>
      <c r="C33" s="18"/>
      <c r="D33" s="19"/>
      <c r="E33" s="19"/>
      <c r="F33" s="19"/>
    </row>
    <row r="34" ht="20.05" customHeight="1">
      <c r="B34" t="s" s="9">
        <v>30</v>
      </c>
      <c r="C34" s="18">
        <f>'Cashflow'!M31-(C12-C11)</f>
        <v>3139.331868599590</v>
      </c>
      <c r="D34" s="19">
        <f>C34-(D12-D11)</f>
        <v>3338.652718001150</v>
      </c>
      <c r="E34" s="19">
        <f>D34-(E12-E11)</f>
        <v>3553.250859872790</v>
      </c>
      <c r="F34" s="19">
        <f>E34-(F12-F11)</f>
        <v>3783.890158838010</v>
      </c>
    </row>
    <row r="35" ht="20.05" customHeight="1">
      <c r="B35" t="s" s="9">
        <v>31</v>
      </c>
      <c r="C35" s="18"/>
      <c r="D35" s="19"/>
      <c r="E35" s="19"/>
      <c r="F35" s="19">
        <v>2160334209024</v>
      </c>
    </row>
    <row r="36" ht="20.05" customHeight="1">
      <c r="B36" t="s" s="9">
        <v>31</v>
      </c>
      <c r="C36" s="18"/>
      <c r="D36" s="19"/>
      <c r="E36" s="19"/>
      <c r="F36" s="19">
        <f>F35/1000000000</f>
        <v>2160.334209024</v>
      </c>
    </row>
    <row r="37" ht="20.05" customHeight="1">
      <c r="B37" t="s" s="9">
        <v>32</v>
      </c>
      <c r="C37" s="18"/>
      <c r="D37" s="19"/>
      <c r="E37" s="19"/>
      <c r="F37" s="25">
        <f>F36/(F20+F27)</f>
        <v>0.119319223938803</v>
      </c>
    </row>
    <row r="38" ht="20.05" customHeight="1">
      <c r="B38" t="s" s="9">
        <v>33</v>
      </c>
      <c r="C38" s="18"/>
      <c r="D38" s="19"/>
      <c r="E38" s="19"/>
      <c r="F38" s="26">
        <f>-(C16+D16+E16+F16)/F36</f>
        <v>0.0485471328137622</v>
      </c>
    </row>
    <row r="39" ht="20.05" customHeight="1">
      <c r="B39" t="s" s="9">
        <v>34</v>
      </c>
      <c r="C39" s="18"/>
      <c r="D39" s="19"/>
      <c r="E39" s="19"/>
      <c r="F39" s="19">
        <f>SUM(C9:F11)</f>
        <v>845.8901588380101</v>
      </c>
    </row>
    <row r="40" ht="20.05" customHeight="1">
      <c r="B40" t="s" s="9">
        <v>35</v>
      </c>
      <c r="C40" s="18"/>
      <c r="D40" s="19"/>
      <c r="E40" s="19"/>
      <c r="F40" s="19">
        <f>'Balance Sheet '!D26/F39</f>
        <v>20.8183058001179</v>
      </c>
    </row>
    <row r="41" ht="20.05" customHeight="1">
      <c r="B41" t="s" s="9">
        <v>29</v>
      </c>
      <c r="C41" s="18"/>
      <c r="D41" s="19"/>
      <c r="E41" s="19"/>
      <c r="F41" s="19">
        <f>F36/F39</f>
        <v>2.55391812571933</v>
      </c>
    </row>
    <row r="42" ht="20.05" customHeight="1">
      <c r="B42" t="s" s="9">
        <v>36</v>
      </c>
      <c r="C42" s="18"/>
      <c r="D42" s="19"/>
      <c r="E42" s="19"/>
      <c r="F42" s="19">
        <v>6</v>
      </c>
    </row>
    <row r="43" ht="20.05" customHeight="1">
      <c r="B43" t="s" s="9">
        <v>37</v>
      </c>
      <c r="C43" s="18"/>
      <c r="D43" s="19"/>
      <c r="E43" s="19"/>
      <c r="F43" s="19">
        <f>F39*F42</f>
        <v>5075.340953028060</v>
      </c>
    </row>
    <row r="44" ht="20.05" customHeight="1">
      <c r="B44" t="s" s="9">
        <v>38</v>
      </c>
      <c r="C44" s="18"/>
      <c r="D44" s="19"/>
      <c r="E44" s="19"/>
      <c r="F44" s="19">
        <f>F36/F46</f>
        <v>3.48441001455484</v>
      </c>
    </row>
    <row r="45" ht="20.05" customHeight="1">
      <c r="B45" t="s" s="9">
        <v>39</v>
      </c>
      <c r="C45" s="18"/>
      <c r="D45" s="19"/>
      <c r="E45" s="19"/>
      <c r="F45" s="19">
        <f>F43/F44</f>
        <v>1456.585456885870</v>
      </c>
    </row>
    <row r="46" ht="20.05" customHeight="1">
      <c r="B46" t="s" s="9">
        <v>40</v>
      </c>
      <c r="C46" s="18"/>
      <c r="D46" s="19"/>
      <c r="E46" s="19"/>
      <c r="F46" s="19">
        <v>620</v>
      </c>
    </row>
    <row r="47" ht="20.05" customHeight="1">
      <c r="B47" t="s" s="9">
        <v>41</v>
      </c>
      <c r="C47" s="18"/>
      <c r="D47" s="19"/>
      <c r="E47" s="19"/>
      <c r="F47" s="26">
        <f>F45/F46-1</f>
        <v>1.34933138207398</v>
      </c>
    </row>
    <row r="48" ht="20.05" customHeight="1">
      <c r="B48" t="s" s="9">
        <v>42</v>
      </c>
      <c r="C48" s="18"/>
      <c r="D48" s="19"/>
      <c r="E48" s="19"/>
      <c r="F48" s="26">
        <f>'Sales'!C31/'Sales'!C27-1</f>
        <v>0.0853102906520031</v>
      </c>
    </row>
    <row r="49" ht="20.05" customHeight="1">
      <c r="B49" t="s" s="9">
        <v>43</v>
      </c>
      <c r="C49" s="18"/>
      <c r="D49" s="19"/>
      <c r="E49" s="19"/>
      <c r="F49" s="26">
        <f>'Sales'!F34/'Sales'!E34-1</f>
        <v>0.0388297963869312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27" customWidth="1"/>
    <col min="2" max="2" width="9.39062" style="27" customWidth="1"/>
    <col min="3" max="11" width="10.5547" style="27" customWidth="1"/>
    <col min="12" max="16384" width="16.3516" style="27" customWidth="1"/>
  </cols>
  <sheetData>
    <row r="1" ht="33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25</v>
      </c>
      <c r="F3" t="s" s="5">
        <v>45</v>
      </c>
      <c r="G3" t="s" s="5">
        <v>46</v>
      </c>
      <c r="H3" t="s" s="5">
        <v>47</v>
      </c>
      <c r="I3" t="s" s="5">
        <v>6</v>
      </c>
      <c r="J3" t="s" s="5">
        <v>6</v>
      </c>
      <c r="K3" t="s" s="5">
        <v>36</v>
      </c>
    </row>
    <row r="4" ht="20.25" customHeight="1">
      <c r="B4" s="28">
        <v>2015</v>
      </c>
      <c r="C4" s="29">
        <v>3075</v>
      </c>
      <c r="D4" s="30"/>
      <c r="E4" s="31">
        <v>0</v>
      </c>
      <c r="F4" s="31"/>
      <c r="G4" s="31">
        <v>-290</v>
      </c>
      <c r="H4" s="32"/>
      <c r="I4" s="33">
        <f>(E4+G4-C4)/C4</f>
        <v>-1.09430894308943</v>
      </c>
      <c r="J4" s="33"/>
      <c r="K4" s="33"/>
    </row>
    <row r="5" ht="20.05" customHeight="1">
      <c r="B5" s="34"/>
      <c r="C5" s="35">
        <v>3121</v>
      </c>
      <c r="D5" s="24"/>
      <c r="E5" s="19">
        <v>0</v>
      </c>
      <c r="F5" s="19"/>
      <c r="G5" s="19">
        <v>-61</v>
      </c>
      <c r="H5" s="26">
        <f>C5/C4-1</f>
        <v>0.0149593495934959</v>
      </c>
      <c r="I5" s="26">
        <f>(E5+G5-C5)/C5</f>
        <v>-1.01954501762256</v>
      </c>
      <c r="J5" s="26"/>
      <c r="K5" s="26"/>
    </row>
    <row r="6" ht="20.05" customHeight="1">
      <c r="B6" s="34"/>
      <c r="C6" s="35">
        <v>3347</v>
      </c>
      <c r="D6" s="24"/>
      <c r="E6" s="19">
        <v>0</v>
      </c>
      <c r="F6" s="19"/>
      <c r="G6" s="19">
        <v>-399</v>
      </c>
      <c r="H6" s="26">
        <f>C6/C5-1</f>
        <v>0.0724126882409484</v>
      </c>
      <c r="I6" s="26">
        <f>(E6+G6-C6)/C6</f>
        <v>-1.11921123394084</v>
      </c>
      <c r="J6" s="26"/>
      <c r="K6" s="26"/>
    </row>
    <row r="7" ht="20.05" customHeight="1">
      <c r="B7" s="34"/>
      <c r="C7" s="35">
        <v>3427</v>
      </c>
      <c r="D7" s="24"/>
      <c r="E7" s="19">
        <v>0</v>
      </c>
      <c r="F7" s="19"/>
      <c r="G7" s="19">
        <v>418</v>
      </c>
      <c r="H7" s="26">
        <f>C7/C6-1</f>
        <v>0.0239020017926501</v>
      </c>
      <c r="I7" s="26">
        <f>(E7+G7-C7)/C7</f>
        <v>-0.878027429238401</v>
      </c>
      <c r="J7" s="26"/>
      <c r="K7" s="26"/>
    </row>
    <row r="8" ht="20.05" customHeight="1">
      <c r="B8" s="36">
        <v>2016</v>
      </c>
      <c r="C8" s="35">
        <v>3439</v>
      </c>
      <c r="D8" s="24"/>
      <c r="E8" s="19">
        <v>712</v>
      </c>
      <c r="F8" s="19"/>
      <c r="G8" s="19">
        <v>338</v>
      </c>
      <c r="H8" s="26">
        <f>C8/C7-1</f>
        <v>0.00350160490224686</v>
      </c>
      <c r="I8" s="26">
        <f>(E8+G8-C8)/C8</f>
        <v>-0.694678685664437</v>
      </c>
      <c r="J8" s="26">
        <f>AVERAGE(I5:I8)</f>
        <v>-0.92786559161656</v>
      </c>
      <c r="K8" s="26"/>
    </row>
    <row r="9" ht="20.05" customHeight="1">
      <c r="B9" s="34"/>
      <c r="C9" s="35">
        <v>3510</v>
      </c>
      <c r="D9" s="24"/>
      <c r="E9" s="19">
        <v>-365</v>
      </c>
      <c r="F9" s="19"/>
      <c r="G9" s="19">
        <v>196</v>
      </c>
      <c r="H9" s="26">
        <f>C9/C8-1</f>
        <v>0.0206455364931666</v>
      </c>
      <c r="I9" s="26">
        <f>(E9+G9-C9)/C9</f>
        <v>-1.04814814814815</v>
      </c>
      <c r="J9" s="26">
        <f>AVERAGE(I6:I9)</f>
        <v>-0.935016374247957</v>
      </c>
      <c r="K9" s="26"/>
    </row>
    <row r="10" ht="20.05" customHeight="1">
      <c r="B10" s="34"/>
      <c r="C10" s="35">
        <v>3212</v>
      </c>
      <c r="D10" s="24"/>
      <c r="E10" s="19">
        <v>180</v>
      </c>
      <c r="F10" s="19"/>
      <c r="G10" s="19">
        <v>49</v>
      </c>
      <c r="H10" s="26">
        <f>C10/C9-1</f>
        <v>-0.08490028490028489</v>
      </c>
      <c r="I10" s="26">
        <f>(E10+G10-C10)/C10</f>
        <v>-0.9287048567870489</v>
      </c>
      <c r="J10" s="26">
        <f>AVERAGE(I7:I10)</f>
        <v>-0.887389779959509</v>
      </c>
      <c r="K10" s="26"/>
    </row>
    <row r="11" ht="20.05" customHeight="1">
      <c r="B11" s="34"/>
      <c r="C11" s="35">
        <v>3473</v>
      </c>
      <c r="D11" s="24"/>
      <c r="E11" s="19">
        <v>-356</v>
      </c>
      <c r="F11" s="19"/>
      <c r="G11" s="19">
        <v>43</v>
      </c>
      <c r="H11" s="26">
        <f>C11/C10-1</f>
        <v>0.0812577833125778</v>
      </c>
      <c r="I11" s="26">
        <f>(E11+G11-C11)/C11</f>
        <v>-1.09012381226605</v>
      </c>
      <c r="J11" s="26">
        <f>AVERAGE(I8:I11)</f>
        <v>-0.940413875716422</v>
      </c>
      <c r="K11" s="26"/>
    </row>
    <row r="12" ht="20.05" customHeight="1">
      <c r="B12" s="36">
        <v>2017</v>
      </c>
      <c r="C12" s="35">
        <v>3775</v>
      </c>
      <c r="D12" s="24"/>
      <c r="E12" s="19">
        <v>184</v>
      </c>
      <c r="F12" s="19"/>
      <c r="G12" s="19">
        <v>216</v>
      </c>
      <c r="H12" s="26">
        <f>C12/C11-1</f>
        <v>0.0869565217391304</v>
      </c>
      <c r="I12" s="26">
        <f>(E12+G12-C12)/C12</f>
        <v>-0.894039735099338</v>
      </c>
      <c r="J12" s="26">
        <f>AVERAGE(I9:I12)</f>
        <v>-0.990254138075147</v>
      </c>
      <c r="K12" s="26"/>
    </row>
    <row r="13" ht="20.05" customHeight="1">
      <c r="B13" s="34"/>
      <c r="C13" s="35">
        <v>3473</v>
      </c>
      <c r="D13" s="24"/>
      <c r="E13" s="19">
        <v>185</v>
      </c>
      <c r="F13" s="19"/>
      <c r="G13" s="19">
        <v>-257</v>
      </c>
      <c r="H13" s="26">
        <f>C13/C12-1</f>
        <v>-0.08</v>
      </c>
      <c r="I13" s="26">
        <f>(E13+G13-C13)/C13</f>
        <v>-1.02073135617622</v>
      </c>
      <c r="J13" s="26">
        <f>AVERAGE(I10:I13)</f>
        <v>-0.983399940082164</v>
      </c>
      <c r="K13" s="26"/>
    </row>
    <row r="14" ht="20.05" customHeight="1">
      <c r="B14" s="34"/>
      <c r="C14" s="35">
        <v>3558</v>
      </c>
      <c r="D14" s="24"/>
      <c r="E14" s="19">
        <v>187</v>
      </c>
      <c r="F14" s="19"/>
      <c r="G14" s="19">
        <v>-100</v>
      </c>
      <c r="H14" s="26">
        <f>C14/C13-1</f>
        <v>0.0244745177080334</v>
      </c>
      <c r="I14" s="26">
        <f>(E14+G14-C14)/C14</f>
        <v>-0.9755480607082631</v>
      </c>
      <c r="J14" s="26">
        <f>AVERAGE(I11:I14)</f>
        <v>-0.995110741062468</v>
      </c>
      <c r="K14" s="26"/>
    </row>
    <row r="15" ht="20.05" customHeight="1">
      <c r="B15" s="34"/>
      <c r="C15" s="35">
        <v>3341</v>
      </c>
      <c r="D15" s="24"/>
      <c r="E15" s="19">
        <v>120</v>
      </c>
      <c r="F15" s="19"/>
      <c r="G15" s="19">
        <v>186</v>
      </c>
      <c r="H15" s="26">
        <f>C15/C14-1</f>
        <v>-0.0609893198426082</v>
      </c>
      <c r="I15" s="26">
        <f>(E15+G15-C15)/C15</f>
        <v>-0.908410655492368</v>
      </c>
      <c r="J15" s="26">
        <f>AVERAGE(I12:I15)</f>
        <v>-0.949682451869047</v>
      </c>
      <c r="K15" s="26"/>
    </row>
    <row r="16" ht="20.05" customHeight="1">
      <c r="B16" s="36">
        <v>2018</v>
      </c>
      <c r="C16" s="35">
        <v>3861</v>
      </c>
      <c r="D16" s="24"/>
      <c r="E16" s="19">
        <v>169</v>
      </c>
      <c r="F16" s="19"/>
      <c r="G16" s="19">
        <v>52</v>
      </c>
      <c r="H16" s="26">
        <f>C16/C15-1</f>
        <v>0.155642023346304</v>
      </c>
      <c r="I16" s="26">
        <f>(E16+G16-C16)/C16</f>
        <v>-0.942760942760943</v>
      </c>
      <c r="J16" s="26">
        <f>AVERAGE(I13:I16)</f>
        <v>-0.961862753784449</v>
      </c>
      <c r="K16" s="26"/>
    </row>
    <row r="17" ht="20.05" customHeight="1">
      <c r="B17" s="34"/>
      <c r="C17" s="35">
        <v>3319</v>
      </c>
      <c r="D17" s="24"/>
      <c r="E17" s="19">
        <v>167</v>
      </c>
      <c r="F17" s="19"/>
      <c r="G17" s="19">
        <v>-146</v>
      </c>
      <c r="H17" s="26">
        <f>C17/C16-1</f>
        <v>-0.14037814037814</v>
      </c>
      <c r="I17" s="26">
        <f>(E17+G17-C17)/C17</f>
        <v>-0.993672793009943</v>
      </c>
      <c r="J17" s="26">
        <f>AVERAGE(I14:I17)</f>
        <v>-0.9550981129928789</v>
      </c>
      <c r="K17" s="26"/>
    </row>
    <row r="18" ht="20.05" customHeight="1">
      <c r="B18" s="34"/>
      <c r="C18" s="35">
        <v>4059</v>
      </c>
      <c r="D18" s="24"/>
      <c r="E18" s="19">
        <v>193</v>
      </c>
      <c r="F18" s="19"/>
      <c r="G18" s="19">
        <v>-135</v>
      </c>
      <c r="H18" s="26">
        <f>C18/C17-1</f>
        <v>0.222958722506779</v>
      </c>
      <c r="I18" s="26">
        <f>(E18+G18-C18)/C18</f>
        <v>-0.985710766198571</v>
      </c>
      <c r="J18" s="26">
        <f>AVERAGE(I15:I18)</f>
        <v>-0.957638789365456</v>
      </c>
      <c r="K18" s="26"/>
    </row>
    <row r="19" ht="20.05" customHeight="1">
      <c r="B19" s="34"/>
      <c r="C19" s="35">
        <v>4111</v>
      </c>
      <c r="D19" s="24"/>
      <c r="E19" s="19">
        <v>186</v>
      </c>
      <c r="F19" s="19"/>
      <c r="G19" s="19">
        <v>154</v>
      </c>
      <c r="H19" s="26">
        <f>C19/C18-1</f>
        <v>0.0128110372012811</v>
      </c>
      <c r="I19" s="26">
        <f>(E19+G19-C19)/C19</f>
        <v>-0.917295062028703</v>
      </c>
      <c r="J19" s="26">
        <f>AVERAGE(I16:I19)</f>
        <v>-0.9598598909995401</v>
      </c>
      <c r="K19" s="26"/>
    </row>
    <row r="20" ht="20.05" customHeight="1">
      <c r="B20" s="36">
        <v>2019</v>
      </c>
      <c r="C20" s="35">
        <v>4038</v>
      </c>
      <c r="D20" s="24"/>
      <c r="E20" s="19">
        <v>175</v>
      </c>
      <c r="F20" s="19"/>
      <c r="G20" s="19">
        <v>169</v>
      </c>
      <c r="H20" s="26">
        <f>C20/C19-1</f>
        <v>-0.0177572366820725</v>
      </c>
      <c r="I20" s="26">
        <f>(E20+G20-C20)/C20</f>
        <v>-0.914809311540367</v>
      </c>
      <c r="J20" s="26">
        <f>AVERAGE(I17:I20)</f>
        <v>-0.952871983194396</v>
      </c>
      <c r="K20" s="26"/>
    </row>
    <row r="21" ht="20.05" customHeight="1">
      <c r="B21" s="34"/>
      <c r="C21" s="35">
        <v>3625</v>
      </c>
      <c r="D21" s="37">
        <v>3484.95</v>
      </c>
      <c r="E21" s="19">
        <v>172</v>
      </c>
      <c r="F21" s="19"/>
      <c r="G21" s="19">
        <v>-5</v>
      </c>
      <c r="H21" s="26">
        <f>C21/C20-1</f>
        <v>-0.102278355621595</v>
      </c>
      <c r="I21" s="26">
        <f>(E21+G21-C21)/C21</f>
        <v>-0.953931034482759</v>
      </c>
      <c r="J21" s="26">
        <f>AVERAGE(I18:I21)</f>
        <v>-0.9429365435626</v>
      </c>
      <c r="K21" s="26"/>
    </row>
    <row r="22" ht="20.05" customHeight="1">
      <c r="B22" s="34"/>
      <c r="C22" s="35">
        <v>4273</v>
      </c>
      <c r="D22" s="37">
        <v>4261.95</v>
      </c>
      <c r="E22" s="19">
        <v>176</v>
      </c>
      <c r="F22" s="19"/>
      <c r="G22" s="19">
        <v>-24</v>
      </c>
      <c r="H22" s="26">
        <f>C22/C21-1</f>
        <v>0.178758620689655</v>
      </c>
      <c r="I22" s="26">
        <f>(E22+G22-C22)/C22</f>
        <v>-0.964427802480693</v>
      </c>
      <c r="J22" s="26">
        <f>AVERAGE(I19:I22)</f>
        <v>-0.937615802633131</v>
      </c>
      <c r="K22" s="26"/>
    </row>
    <row r="23" ht="20.05" customHeight="1">
      <c r="B23" s="34"/>
      <c r="C23" s="35">
        <v>4003</v>
      </c>
      <c r="D23" s="37">
        <v>4522.1</v>
      </c>
      <c r="E23" s="19">
        <v>168</v>
      </c>
      <c r="F23" s="19"/>
      <c r="G23" s="19">
        <v>129</v>
      </c>
      <c r="H23" s="26">
        <f>C23/C22-1</f>
        <v>-0.0631874561198221</v>
      </c>
      <c r="I23" s="26">
        <f>(E23+G23-C23)/C23</f>
        <v>-0.925805645765676</v>
      </c>
      <c r="J23" s="26">
        <f>AVERAGE(I20:I23)</f>
        <v>-0.939743448567374</v>
      </c>
      <c r="K23" s="26"/>
    </row>
    <row r="24" ht="20.05" customHeight="1">
      <c r="B24" s="36">
        <v>2020</v>
      </c>
      <c r="C24" s="35">
        <v>3797</v>
      </c>
      <c r="D24" s="37">
        <v>4441.8</v>
      </c>
      <c r="E24" s="19">
        <v>179.9</v>
      </c>
      <c r="F24" s="23">
        <v>758</v>
      </c>
      <c r="G24" s="19">
        <v>-404</v>
      </c>
      <c r="H24" s="26">
        <f>C24/C23-1</f>
        <v>-0.0514614039470397</v>
      </c>
      <c r="I24" s="26">
        <f>(E24+G24+F24-C24)/C24</f>
        <v>-0.859388991308928</v>
      </c>
      <c r="J24" s="26">
        <f>AVERAGE(I21:I24)</f>
        <v>-0.9258883685095139</v>
      </c>
      <c r="K24" s="26"/>
    </row>
    <row r="25" ht="20.05" customHeight="1">
      <c r="B25" s="34"/>
      <c r="C25" s="35">
        <v>2130</v>
      </c>
      <c r="D25" s="37">
        <v>3443.75</v>
      </c>
      <c r="E25" s="19">
        <v>176.1</v>
      </c>
      <c r="F25" s="23">
        <v>-596</v>
      </c>
      <c r="G25" s="19">
        <v>263</v>
      </c>
      <c r="H25" s="26">
        <f>C25/C24-1</f>
        <v>-0.439030813800369</v>
      </c>
      <c r="I25" s="26">
        <f>(E25+G25+F25-C25)/C25</f>
        <v>-1.07366197183099</v>
      </c>
      <c r="J25" s="26">
        <f>AVERAGE(I22:I25)</f>
        <v>-0.955821102846572</v>
      </c>
      <c r="K25" s="26"/>
    </row>
    <row r="26" ht="20.05" customHeight="1">
      <c r="B26" s="34"/>
      <c r="C26" s="35">
        <f>9616-SUM(C24:C25)</f>
        <v>3689</v>
      </c>
      <c r="D26" s="37">
        <v>2563.8</v>
      </c>
      <c r="E26" s="19">
        <f>544-SUM(E24:E25)</f>
        <v>188</v>
      </c>
      <c r="F26" s="23">
        <f>304-SUM(F24:F25)</f>
        <v>142</v>
      </c>
      <c r="G26" s="19">
        <f>-105-SUM(G24:G25)</f>
        <v>36</v>
      </c>
      <c r="H26" s="26">
        <f>C26/C25-1</f>
        <v>0.731924882629108</v>
      </c>
      <c r="I26" s="26">
        <f>(G26+F26+E26-C26)/C26</f>
        <v>-0.900786120899973</v>
      </c>
      <c r="J26" s="26">
        <f>AVERAGE(I23:I26)</f>
        <v>-0.939910682451392</v>
      </c>
      <c r="K26" s="26"/>
    </row>
    <row r="27" ht="20.05" customHeight="1">
      <c r="B27" s="34"/>
      <c r="C27" s="35">
        <v>3819</v>
      </c>
      <c r="D27" s="37">
        <v>3836.56</v>
      </c>
      <c r="E27" s="19">
        <v>177</v>
      </c>
      <c r="F27" s="23">
        <v>-182</v>
      </c>
      <c r="G27" s="19">
        <v>424</v>
      </c>
      <c r="H27" s="26">
        <f>C27/C26-1</f>
        <v>0.0352399024125779</v>
      </c>
      <c r="I27" s="26">
        <f>(G27+F27+E27-C27)/C27</f>
        <v>-0.890285415030113</v>
      </c>
      <c r="J27" s="26">
        <f>AVERAGE(I24:I27)</f>
        <v>-0.931030624767501</v>
      </c>
      <c r="K27" s="26"/>
    </row>
    <row r="28" ht="20.05" customHeight="1">
      <c r="B28" s="36">
        <v>2021</v>
      </c>
      <c r="C28" s="35">
        <v>3921.9</v>
      </c>
      <c r="D28" s="37">
        <v>3857.19</v>
      </c>
      <c r="E28" s="19">
        <v>180.9</v>
      </c>
      <c r="F28" s="19">
        <v>102.2</v>
      </c>
      <c r="G28" s="19">
        <v>113.3</v>
      </c>
      <c r="H28" s="26">
        <f>C28/C27-1</f>
        <v>0.0269442262372349</v>
      </c>
      <c r="I28" s="26">
        <f>(G28+F28+E28-C28)/C28</f>
        <v>-0.89892654070731</v>
      </c>
      <c r="J28" s="26">
        <f>AVERAGE(I25:I28)</f>
        <v>-0.940915012117097</v>
      </c>
      <c r="K28" s="26"/>
    </row>
    <row r="29" ht="20.05" customHeight="1">
      <c r="B29" s="34"/>
      <c r="C29" s="35">
        <f>7260.7-C28</f>
        <v>3338.8</v>
      </c>
      <c r="D29" s="37">
        <v>4078.776</v>
      </c>
      <c r="E29" s="19">
        <f>363.6-E28</f>
        <v>182.7</v>
      </c>
      <c r="F29" s="19">
        <f>86.7-F28</f>
        <v>-15.5</v>
      </c>
      <c r="G29" s="19">
        <f>95.8-G28</f>
        <v>-17.5</v>
      </c>
      <c r="H29" s="26">
        <f>C29/C28-1</f>
        <v>-0.148677936714348</v>
      </c>
      <c r="I29" s="26">
        <f>(G29+F29+E29-C29)/C29</f>
        <v>-0.955163531807835</v>
      </c>
      <c r="J29" s="26">
        <f>AVERAGE(I26:I29)</f>
        <v>-0.911290402111308</v>
      </c>
      <c r="K29" s="26"/>
    </row>
    <row r="30" ht="20.05" customHeight="1">
      <c r="B30" s="34"/>
      <c r="C30" s="35">
        <f>11199.3-SUM(C28:C29)</f>
        <v>3938.6</v>
      </c>
      <c r="D30" s="37">
        <v>3672.68</v>
      </c>
      <c r="E30" s="19">
        <f>542.2-SUM(E28:E29)</f>
        <v>178.6</v>
      </c>
      <c r="F30" s="38">
        <f>67-SUM(F28:F29)</f>
        <v>-19.7</v>
      </c>
      <c r="G30" s="19">
        <f>15.5-SUM(G28:G29)</f>
        <v>-80.3</v>
      </c>
      <c r="H30" s="26">
        <f>C30/C29-1</f>
        <v>0.179645381574218</v>
      </c>
      <c r="I30" s="26">
        <f>(G30+F30+E30-C30)/C30</f>
        <v>-0.980043670339715</v>
      </c>
      <c r="J30" s="26">
        <f>AVERAGE(I27:I30)</f>
        <v>-0.931104789471243</v>
      </c>
      <c r="K30" s="26"/>
    </row>
    <row r="31" ht="20.05" customHeight="1">
      <c r="B31" s="34"/>
      <c r="C31" s="35">
        <f>15344.1-SUM(C28:C30)</f>
        <v>4144.8</v>
      </c>
      <c r="D31" s="37">
        <v>4096.144</v>
      </c>
      <c r="E31" s="38">
        <f>724.4-SUM(E28:E30)</f>
        <v>182.2</v>
      </c>
      <c r="F31" s="38">
        <f>67.9-SUM(F28:F30)</f>
        <v>0.9</v>
      </c>
      <c r="G31" s="19">
        <f>79.9-SUM(G28:G30)</f>
        <v>64.40000000000001</v>
      </c>
      <c r="H31" s="26">
        <f>C31/C30-1</f>
        <v>0.0523536281927588</v>
      </c>
      <c r="I31" s="26">
        <f>(G31+F31+E31-C31)/C31</f>
        <v>-0.940286624203822</v>
      </c>
      <c r="J31" s="26">
        <f>AVERAGE(I28:I31)</f>
        <v>-0.943605091764671</v>
      </c>
      <c r="K31" s="26">
        <f>J31</f>
        <v>-0.943605091764671</v>
      </c>
    </row>
    <row r="32" ht="20.05" customHeight="1">
      <c r="B32" s="36">
        <v>2022</v>
      </c>
      <c r="C32" s="39"/>
      <c r="D32" s="37">
        <f>'Model'!C6</f>
        <v>4144.8</v>
      </c>
      <c r="E32" s="23"/>
      <c r="F32" s="23"/>
      <c r="G32" s="24"/>
      <c r="H32" s="11"/>
      <c r="I32" s="24"/>
      <c r="J32" s="26"/>
      <c r="K32" s="11">
        <f>'Model'!C7</f>
        <v>-0.931104789471243</v>
      </c>
    </row>
    <row r="33" ht="20.05" customHeight="1">
      <c r="B33" s="34"/>
      <c r="C33" s="39"/>
      <c r="D33" s="37">
        <f>SUM('Model'!D6)</f>
        <v>4434.936</v>
      </c>
      <c r="E33" s="23"/>
      <c r="F33" s="23"/>
      <c r="G33" s="19"/>
      <c r="H33" s="11"/>
      <c r="I33" s="11"/>
      <c r="J33" s="26"/>
      <c r="K33" s="26"/>
    </row>
    <row r="34" ht="20.05" customHeight="1">
      <c r="B34" s="34"/>
      <c r="C34" s="39"/>
      <c r="D34" s="37">
        <f>'Model'!E6</f>
        <v>4656.6828</v>
      </c>
      <c r="E34" s="19">
        <f>SUM(C21:C31)</f>
        <v>40680.1</v>
      </c>
      <c r="F34" s="19">
        <f>SUM(D21:D31)</f>
        <v>42259.7</v>
      </c>
      <c r="G34" s="19"/>
      <c r="H34" s="11"/>
      <c r="I34" s="11"/>
      <c r="J34" s="26"/>
      <c r="K34" s="26"/>
    </row>
    <row r="35" ht="20.05" customHeight="1">
      <c r="B35" s="34"/>
      <c r="C35" s="39"/>
      <c r="D35" s="37">
        <f>'Model'!F6</f>
        <v>4889.51694</v>
      </c>
      <c r="E35" s="23"/>
      <c r="F35" s="23"/>
      <c r="G35" s="19"/>
      <c r="H35" s="11"/>
      <c r="I35" s="11"/>
      <c r="J35" s="26"/>
      <c r="K35" s="2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7031" style="40" customWidth="1"/>
    <col min="2" max="2" width="8.92969" style="40" customWidth="1"/>
    <col min="3" max="15" width="11.2188" style="40" customWidth="1"/>
    <col min="16" max="16384" width="16.3516" style="40" customWidth="1"/>
  </cols>
  <sheetData>
    <row r="1" ht="36.8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49</v>
      </c>
      <c r="D3" t="s" s="5">
        <v>8</v>
      </c>
      <c r="E3" t="s" s="5">
        <v>50</v>
      </c>
      <c r="F3" t="s" s="5">
        <v>12</v>
      </c>
      <c r="G3" t="s" s="5">
        <v>51</v>
      </c>
      <c r="H3" t="s" s="5">
        <v>11</v>
      </c>
      <c r="I3" t="s" s="5">
        <v>10</v>
      </c>
      <c r="J3" t="s" s="5">
        <v>52</v>
      </c>
      <c r="K3" t="s" s="5">
        <v>34</v>
      </c>
      <c r="L3" t="s" s="5">
        <v>36</v>
      </c>
      <c r="M3" t="s" s="5">
        <v>30</v>
      </c>
      <c r="N3" t="s" s="5">
        <v>36</v>
      </c>
      <c r="O3" s="41"/>
    </row>
    <row r="4" ht="20.25" customHeight="1">
      <c r="B4" s="28">
        <v>2015</v>
      </c>
      <c r="C4" s="42">
        <v>3231</v>
      </c>
      <c r="D4" s="31">
        <v>-408</v>
      </c>
      <c r="E4" s="31">
        <v>-197</v>
      </c>
      <c r="F4" s="31"/>
      <c r="G4" s="31"/>
      <c r="H4" s="31">
        <v>388</v>
      </c>
      <c r="I4" s="43"/>
      <c r="J4" s="31">
        <f>D4+E4+I4</f>
        <v>-605</v>
      </c>
      <c r="K4" s="43"/>
      <c r="L4" s="31"/>
      <c r="M4" s="31">
        <f>-(H4-I4)</f>
        <v>-388</v>
      </c>
      <c r="N4" s="31"/>
      <c r="O4" s="31">
        <v>1</v>
      </c>
    </row>
    <row r="5" ht="20.05" customHeight="1">
      <c r="B5" s="34"/>
      <c r="C5" s="18">
        <v>3256</v>
      </c>
      <c r="D5" s="19">
        <v>489</v>
      </c>
      <c r="E5" s="19">
        <v>-279</v>
      </c>
      <c r="F5" s="19"/>
      <c r="G5" s="19"/>
      <c r="H5" s="19">
        <v>-102</v>
      </c>
      <c r="I5" s="23"/>
      <c r="J5" s="19">
        <f>D5+E5+I5</f>
        <v>210</v>
      </c>
      <c r="K5" s="23"/>
      <c r="L5" s="19"/>
      <c r="M5" s="19">
        <f>-(H5-I5)+M4</f>
        <v>-286</v>
      </c>
      <c r="N5" s="19"/>
      <c r="O5" s="19">
        <f>1+O4</f>
        <v>2</v>
      </c>
    </row>
    <row r="6" ht="20.05" customHeight="1">
      <c r="B6" s="34"/>
      <c r="C6" s="18">
        <v>3564</v>
      </c>
      <c r="D6" s="19">
        <v>407</v>
      </c>
      <c r="E6" s="19">
        <v>-343</v>
      </c>
      <c r="F6" s="19"/>
      <c r="G6" s="19"/>
      <c r="H6" s="19">
        <v>-135</v>
      </c>
      <c r="I6" s="23"/>
      <c r="J6" s="19">
        <f>D6+E6+I6</f>
        <v>64</v>
      </c>
      <c r="K6" s="23"/>
      <c r="L6" s="19"/>
      <c r="M6" s="19">
        <f>-(H6-I6)+M5</f>
        <v>-151</v>
      </c>
      <c r="N6" s="19"/>
      <c r="O6" s="19">
        <f>1+O5</f>
        <v>3</v>
      </c>
    </row>
    <row r="7" ht="20.05" customHeight="1">
      <c r="B7" s="34"/>
      <c r="C7" s="18">
        <v>3445</v>
      </c>
      <c r="D7" s="19">
        <v>308</v>
      </c>
      <c r="E7" s="19">
        <v>-585</v>
      </c>
      <c r="F7" s="19"/>
      <c r="G7" s="19"/>
      <c r="H7" s="19">
        <v>102</v>
      </c>
      <c r="I7" s="23"/>
      <c r="J7" s="19">
        <f>D7+E7+I7</f>
        <v>-277</v>
      </c>
      <c r="K7" s="23"/>
      <c r="L7" s="19"/>
      <c r="M7" s="19">
        <f>-(H7-I7)+M6</f>
        <v>-253</v>
      </c>
      <c r="N7" s="19"/>
      <c r="O7" s="19">
        <f>1+O6</f>
        <v>4</v>
      </c>
    </row>
    <row r="8" ht="20.05" customHeight="1">
      <c r="B8" s="36">
        <v>2016</v>
      </c>
      <c r="C8" s="18">
        <v>3071</v>
      </c>
      <c r="D8" s="19">
        <v>108</v>
      </c>
      <c r="E8" s="19">
        <v>-230</v>
      </c>
      <c r="F8" s="19"/>
      <c r="G8" s="19"/>
      <c r="H8" s="19">
        <v>99</v>
      </c>
      <c r="I8" s="23"/>
      <c r="J8" s="19">
        <f>D8+E8+I8</f>
        <v>-122</v>
      </c>
      <c r="K8" s="19">
        <f>AVERAGE(J5:J8)</f>
        <v>-31.25</v>
      </c>
      <c r="L8" s="19"/>
      <c r="M8" s="19">
        <f>-(H8-I8)+M7</f>
        <v>-352</v>
      </c>
      <c r="N8" s="19"/>
      <c r="O8" s="19">
        <f>1+O7</f>
        <v>5</v>
      </c>
    </row>
    <row r="9" ht="20.05" customHeight="1">
      <c r="B9" s="34"/>
      <c r="C9" s="18">
        <v>3943</v>
      </c>
      <c r="D9" s="19">
        <v>617</v>
      </c>
      <c r="E9" s="19">
        <v>-260</v>
      </c>
      <c r="F9" s="19"/>
      <c r="G9" s="19"/>
      <c r="H9" s="19">
        <v>-198</v>
      </c>
      <c r="I9" s="23"/>
      <c r="J9" s="19">
        <f>D9+E9+I9</f>
        <v>357</v>
      </c>
      <c r="K9" s="19">
        <f>AVERAGE(J6:J9)</f>
        <v>5.5</v>
      </c>
      <c r="L9" s="19"/>
      <c r="M9" s="19">
        <f>-(H9-I9)+M8</f>
        <v>-154</v>
      </c>
      <c r="N9" s="19"/>
      <c r="O9" s="19">
        <f>1+O8</f>
        <v>6</v>
      </c>
    </row>
    <row r="10" ht="20.05" customHeight="1">
      <c r="B10" s="34"/>
      <c r="C10" s="18">
        <v>3172</v>
      </c>
      <c r="D10" s="19">
        <v>123</v>
      </c>
      <c r="E10" s="19">
        <v>-210</v>
      </c>
      <c r="F10" s="19"/>
      <c r="G10" s="19"/>
      <c r="H10" s="19">
        <v>48</v>
      </c>
      <c r="I10" s="23"/>
      <c r="J10" s="19">
        <f>D10+E10+I10</f>
        <v>-87</v>
      </c>
      <c r="K10" s="19">
        <f>AVERAGE(J7:J10)</f>
        <v>-32.25</v>
      </c>
      <c r="L10" s="19"/>
      <c r="M10" s="19">
        <f>-(H10-I10)+M9</f>
        <v>-202</v>
      </c>
      <c r="N10" s="19"/>
      <c r="O10" s="19">
        <f>1+O9</f>
        <v>7</v>
      </c>
    </row>
    <row r="11" ht="20.05" customHeight="1">
      <c r="B11" s="34"/>
      <c r="C11" s="18">
        <v>3453</v>
      </c>
      <c r="D11" s="19">
        <v>445</v>
      </c>
      <c r="E11" s="19">
        <v>-370</v>
      </c>
      <c r="F11" s="19"/>
      <c r="G11" s="19"/>
      <c r="H11" s="19">
        <v>-41</v>
      </c>
      <c r="I11" s="23"/>
      <c r="J11" s="19">
        <f>D11+E11+I11</f>
        <v>75</v>
      </c>
      <c r="K11" s="19">
        <f>AVERAGE(J8:J11)</f>
        <v>55.75</v>
      </c>
      <c r="L11" s="19"/>
      <c r="M11" s="19">
        <f>-(H11-I11)+M10</f>
        <v>-161</v>
      </c>
      <c r="N11" s="19"/>
      <c r="O11" s="19">
        <f>1+O10</f>
        <v>8</v>
      </c>
    </row>
    <row r="12" ht="20.05" customHeight="1">
      <c r="B12" s="36">
        <v>2017</v>
      </c>
      <c r="C12" s="18">
        <v>3641</v>
      </c>
      <c r="D12" s="19">
        <v>-291</v>
      </c>
      <c r="E12" s="19">
        <v>-171</v>
      </c>
      <c r="F12" s="19"/>
      <c r="G12" s="19"/>
      <c r="H12" s="19">
        <v>70</v>
      </c>
      <c r="I12" s="23"/>
      <c r="J12" s="19">
        <f>D12+E12+I12</f>
        <v>-462</v>
      </c>
      <c r="K12" s="19">
        <f>AVERAGE(J9:J12)</f>
        <v>-29.25</v>
      </c>
      <c r="L12" s="19"/>
      <c r="M12" s="19">
        <f>-(H12-I12)+M11</f>
        <v>-231</v>
      </c>
      <c r="N12" s="19"/>
      <c r="O12" s="19">
        <f>1+O11</f>
        <v>9</v>
      </c>
    </row>
    <row r="13" ht="20.05" customHeight="1">
      <c r="B13" s="34"/>
      <c r="C13" s="18">
        <v>3523</v>
      </c>
      <c r="D13" s="19">
        <v>-77</v>
      </c>
      <c r="E13" s="19">
        <v>-155</v>
      </c>
      <c r="F13" s="19"/>
      <c r="G13" s="19"/>
      <c r="H13" s="19">
        <v>354</v>
      </c>
      <c r="I13" s="23"/>
      <c r="J13" s="19">
        <f>D13+E13+I13</f>
        <v>-232</v>
      </c>
      <c r="K13" s="19">
        <f>AVERAGE(J10:J13)</f>
        <v>-176.5</v>
      </c>
      <c r="L13" s="19"/>
      <c r="M13" s="19">
        <f>-(H13-I13)+M12</f>
        <v>-585</v>
      </c>
      <c r="N13" s="19"/>
      <c r="O13" s="19">
        <f>1+O12</f>
        <v>10</v>
      </c>
    </row>
    <row r="14" ht="20.05" customHeight="1">
      <c r="B14" s="34"/>
      <c r="C14" s="18">
        <v>3915</v>
      </c>
      <c r="D14" s="19">
        <v>314</v>
      </c>
      <c r="E14" s="19">
        <v>242</v>
      </c>
      <c r="F14" s="19"/>
      <c r="G14" s="19"/>
      <c r="H14" s="19">
        <v>-434</v>
      </c>
      <c r="I14" s="23"/>
      <c r="J14" s="19">
        <f>D14+E14+I14</f>
        <v>556</v>
      </c>
      <c r="K14" s="19">
        <f>AVERAGE(J11:J14)</f>
        <v>-15.75</v>
      </c>
      <c r="L14" s="19"/>
      <c r="M14" s="19">
        <f>-(H14-I14)+M13</f>
        <v>-151</v>
      </c>
      <c r="N14" s="19"/>
      <c r="O14" s="19">
        <f>1+O13</f>
        <v>11</v>
      </c>
    </row>
    <row r="15" ht="20.05" customHeight="1">
      <c r="B15" s="34"/>
      <c r="C15" s="18">
        <v>4448</v>
      </c>
      <c r="D15" s="19">
        <v>793</v>
      </c>
      <c r="E15" s="19">
        <v>-65</v>
      </c>
      <c r="F15" s="19"/>
      <c r="G15" s="19"/>
      <c r="H15" s="19">
        <v>-615</v>
      </c>
      <c r="I15" s="23"/>
      <c r="J15" s="19">
        <f>D15+E15+I15</f>
        <v>728</v>
      </c>
      <c r="K15" s="19">
        <f>AVERAGE(J12:J15)</f>
        <v>147.5</v>
      </c>
      <c r="L15" s="19"/>
      <c r="M15" s="19">
        <f>-(H15-I15)+M14</f>
        <v>464</v>
      </c>
      <c r="N15" s="19"/>
      <c r="O15" s="19">
        <f>1+O14</f>
        <v>12</v>
      </c>
    </row>
    <row r="16" ht="20.05" customHeight="1">
      <c r="B16" s="36">
        <v>2018</v>
      </c>
      <c r="C16" s="18">
        <v>4204</v>
      </c>
      <c r="D16" s="19">
        <v>1060</v>
      </c>
      <c r="E16" s="19">
        <v>-68</v>
      </c>
      <c r="F16" s="19"/>
      <c r="G16" s="19"/>
      <c r="H16" s="19">
        <v>-15</v>
      </c>
      <c r="I16" s="23"/>
      <c r="J16" s="19">
        <f>D16+E16+I16</f>
        <v>992</v>
      </c>
      <c r="K16" s="19">
        <f>AVERAGE(J13:J16)</f>
        <v>511</v>
      </c>
      <c r="L16" s="19"/>
      <c r="M16" s="19">
        <f>-(H16-I16)+M15</f>
        <v>479</v>
      </c>
      <c r="N16" s="19"/>
      <c r="O16" s="19">
        <f>1+O15</f>
        <v>13</v>
      </c>
    </row>
    <row r="17" ht="20.05" customHeight="1">
      <c r="B17" s="34"/>
      <c r="C17" s="18">
        <v>3951</v>
      </c>
      <c r="D17" s="19">
        <v>71</v>
      </c>
      <c r="E17" s="19">
        <v>-108</v>
      </c>
      <c r="F17" s="19"/>
      <c r="G17" s="19"/>
      <c r="H17" s="19">
        <v>-200</v>
      </c>
      <c r="I17" s="23"/>
      <c r="J17" s="19">
        <f>D17+E17+I17</f>
        <v>-37</v>
      </c>
      <c r="K17" s="19">
        <f>AVERAGE(J14:J17)</f>
        <v>559.75</v>
      </c>
      <c r="L17" s="19"/>
      <c r="M17" s="19">
        <f>-(H17-I17)+M16</f>
        <v>679</v>
      </c>
      <c r="N17" s="19"/>
      <c r="O17" s="19">
        <f>1+O16</f>
        <v>14</v>
      </c>
    </row>
    <row r="18" ht="20.05" customHeight="1">
      <c r="B18" s="34"/>
      <c r="C18" s="18">
        <v>3801</v>
      </c>
      <c r="D18" s="19">
        <v>-597</v>
      </c>
      <c r="E18" s="19">
        <v>-154</v>
      </c>
      <c r="F18" s="19"/>
      <c r="G18" s="19"/>
      <c r="H18" s="19">
        <v>52</v>
      </c>
      <c r="I18" s="23"/>
      <c r="J18" s="19">
        <f>D18+E18+I18</f>
        <v>-751</v>
      </c>
      <c r="K18" s="19">
        <f>AVERAGE(J15:J18)</f>
        <v>233</v>
      </c>
      <c r="L18" s="19"/>
      <c r="M18" s="19">
        <f>-(H18-I18)+M17</f>
        <v>627</v>
      </c>
      <c r="N18" s="19"/>
      <c r="O18" s="19">
        <f>1+O17</f>
        <v>15</v>
      </c>
    </row>
    <row r="19" ht="20.05" customHeight="1">
      <c r="B19" s="34"/>
      <c r="C19" s="18">
        <v>4152</v>
      </c>
      <c r="D19" s="19">
        <v>-54</v>
      </c>
      <c r="E19" s="19">
        <v>-206</v>
      </c>
      <c r="F19" s="19"/>
      <c r="G19" s="19"/>
      <c r="H19" s="19">
        <v>157</v>
      </c>
      <c r="I19" s="23"/>
      <c r="J19" s="19">
        <f>D19+E19+I19</f>
        <v>-260</v>
      </c>
      <c r="K19" s="19">
        <f>AVERAGE(J16:J19)</f>
        <v>-14</v>
      </c>
      <c r="L19" s="19"/>
      <c r="M19" s="19">
        <f>-(H19-I19)+M18</f>
        <v>470</v>
      </c>
      <c r="N19" s="19"/>
      <c r="O19" s="19">
        <f>1+O18</f>
        <v>16</v>
      </c>
    </row>
    <row r="20" ht="20.05" customHeight="1">
      <c r="B20" s="36">
        <v>2019</v>
      </c>
      <c r="C20" s="18">
        <v>3988</v>
      </c>
      <c r="D20" s="19">
        <v>-61</v>
      </c>
      <c r="E20" s="19">
        <v>-142</v>
      </c>
      <c r="F20" s="19"/>
      <c r="G20" s="19"/>
      <c r="H20" s="19">
        <v>84</v>
      </c>
      <c r="I20" s="23"/>
      <c r="J20" s="19">
        <f>D20+E20+I20</f>
        <v>-203</v>
      </c>
      <c r="K20" s="19">
        <f>AVERAGE(J17:J20)</f>
        <v>-312.75</v>
      </c>
      <c r="L20" s="19"/>
      <c r="M20" s="19">
        <f>-(H20-I20)+M19</f>
        <v>386</v>
      </c>
      <c r="N20" s="19"/>
      <c r="O20" s="19">
        <f>1+O19</f>
        <v>17</v>
      </c>
    </row>
    <row r="21" ht="20.05" customHeight="1">
      <c r="B21" s="34"/>
      <c r="C21" s="18">
        <v>4447</v>
      </c>
      <c r="D21" s="19">
        <v>426</v>
      </c>
      <c r="E21" s="19">
        <v>-171</v>
      </c>
      <c r="F21" s="19"/>
      <c r="G21" s="19"/>
      <c r="H21" s="19">
        <v>-72</v>
      </c>
      <c r="I21" s="23"/>
      <c r="J21" s="19">
        <f>D21+E21+I21</f>
        <v>255</v>
      </c>
      <c r="K21" s="19">
        <f>AVERAGE(J18:J21)</f>
        <v>-239.75</v>
      </c>
      <c r="L21" s="19"/>
      <c r="M21" s="19">
        <f>-(H21-I21)+M20</f>
        <v>458</v>
      </c>
      <c r="N21" s="19"/>
      <c r="O21" s="19">
        <f>1+O20</f>
        <v>18</v>
      </c>
    </row>
    <row r="22" ht="20.05" customHeight="1">
      <c r="B22" s="34"/>
      <c r="C22" s="18">
        <v>4010</v>
      </c>
      <c r="D22" s="19">
        <v>375</v>
      </c>
      <c r="E22" s="19">
        <v>-184</v>
      </c>
      <c r="F22" s="19"/>
      <c r="G22" s="19"/>
      <c r="H22" s="19">
        <v>-261</v>
      </c>
      <c r="I22" s="23"/>
      <c r="J22" s="19">
        <f>D22+E22+I22</f>
        <v>191</v>
      </c>
      <c r="K22" s="19">
        <f>AVERAGE(J19:J22)</f>
        <v>-4.25</v>
      </c>
      <c r="L22" s="19"/>
      <c r="M22" s="19">
        <f>-(H22-I22)+M21</f>
        <v>719</v>
      </c>
      <c r="N22" s="19"/>
      <c r="O22" s="19">
        <f>1+O21</f>
        <v>19</v>
      </c>
    </row>
    <row r="23" ht="20.05" customHeight="1">
      <c r="B23" s="34"/>
      <c r="C23" s="18">
        <v>4000</v>
      </c>
      <c r="D23" s="19">
        <v>518</v>
      </c>
      <c r="E23" s="19">
        <v>-139</v>
      </c>
      <c r="F23" s="19"/>
      <c r="G23" s="19"/>
      <c r="H23" s="19">
        <v>-398</v>
      </c>
      <c r="I23" s="23"/>
      <c r="J23" s="19">
        <f>D23+E23+I23</f>
        <v>379</v>
      </c>
      <c r="K23" s="19">
        <f>AVERAGE(J20:J23)</f>
        <v>155.5</v>
      </c>
      <c r="L23" s="19"/>
      <c r="M23" s="19">
        <f>-(H23-I23)+M22</f>
        <v>1117</v>
      </c>
      <c r="N23" s="19"/>
      <c r="O23" s="19">
        <f>1+O22</f>
        <v>20</v>
      </c>
    </row>
    <row r="24" ht="20.05" customHeight="1">
      <c r="B24" s="36">
        <v>2020</v>
      </c>
      <c r="C24" s="18">
        <v>3579.8</v>
      </c>
      <c r="D24" s="19">
        <v>-81.5</v>
      </c>
      <c r="E24" s="19">
        <v>-121.1</v>
      </c>
      <c r="F24" s="19">
        <f>H24-G24-I24</f>
        <v>217.7</v>
      </c>
      <c r="G24" s="19">
        <v>0</v>
      </c>
      <c r="H24" s="19">
        <v>203.7</v>
      </c>
      <c r="I24" s="23">
        <v>-14</v>
      </c>
      <c r="J24" s="19">
        <f>D24+E24+I24</f>
        <v>-216.6</v>
      </c>
      <c r="K24" s="19">
        <f>AVERAGE(J21:J24)</f>
        <v>152.1</v>
      </c>
      <c r="L24" s="19"/>
      <c r="M24" s="44">
        <f>-(H24-I24)+M23</f>
        <v>899.3</v>
      </c>
      <c r="N24" s="19"/>
      <c r="O24" s="19">
        <f>1+O23</f>
        <v>21</v>
      </c>
    </row>
    <row r="25" ht="20.05" customHeight="1">
      <c r="B25" s="34"/>
      <c r="C25" s="18">
        <v>3268.2</v>
      </c>
      <c r="D25" s="19">
        <v>625.5</v>
      </c>
      <c r="E25" s="19">
        <v>-59.9</v>
      </c>
      <c r="F25" s="19">
        <f>H25-G25-I25</f>
        <v>-471.7</v>
      </c>
      <c r="G25" s="19">
        <v>0</v>
      </c>
      <c r="H25" s="19">
        <v>-485.7</v>
      </c>
      <c r="I25" s="23">
        <v>-14</v>
      </c>
      <c r="J25" s="19">
        <f>D25+E25+I25</f>
        <v>551.6</v>
      </c>
      <c r="K25" s="19">
        <f>AVERAGE(J22:J25)</f>
        <v>226.25</v>
      </c>
      <c r="L25" s="19"/>
      <c r="M25" s="19">
        <f>-(H25-I25)+M24</f>
        <v>1371</v>
      </c>
      <c r="N25" s="19"/>
      <c r="O25" s="19">
        <f>1+O24</f>
        <v>22</v>
      </c>
    </row>
    <row r="26" ht="20.05" customHeight="1">
      <c r="B26" s="34"/>
      <c r="C26" s="18">
        <f>10595-SUM(C24:C25)</f>
        <v>3747</v>
      </c>
      <c r="D26" s="19">
        <f>1392-SUM(D24:D25)</f>
        <v>848</v>
      </c>
      <c r="E26" s="19">
        <f>-238-SUM(E24:E25)</f>
        <v>-57</v>
      </c>
      <c r="F26" s="19">
        <f>H26-G26-I26</f>
        <v>-815</v>
      </c>
      <c r="G26" s="19">
        <v>0</v>
      </c>
      <c r="H26" s="19">
        <f>-1111-SUM(H24:H25)</f>
        <v>-829</v>
      </c>
      <c r="I26" s="23">
        <v>-14</v>
      </c>
      <c r="J26" s="19">
        <f>D26+E26+I26</f>
        <v>777</v>
      </c>
      <c r="K26" s="19">
        <f>AVERAGE(J23:J26)</f>
        <v>372.75</v>
      </c>
      <c r="L26" s="19"/>
      <c r="M26" s="19">
        <f>-(H26-I26)+M25</f>
        <v>2186</v>
      </c>
      <c r="N26" s="19"/>
      <c r="O26" s="19">
        <f>1+O25</f>
        <v>23</v>
      </c>
    </row>
    <row r="27" ht="20.05" customHeight="1">
      <c r="B27" s="34"/>
      <c r="C27" s="18">
        <v>4217</v>
      </c>
      <c r="D27" s="19">
        <v>1207</v>
      </c>
      <c r="E27" s="19">
        <v>-157</v>
      </c>
      <c r="F27" s="19">
        <f>H27-G27-I27</f>
        <v>-654</v>
      </c>
      <c r="G27" s="19">
        <v>0</v>
      </c>
      <c r="H27" s="19">
        <v>-668</v>
      </c>
      <c r="I27" s="23">
        <v>-14</v>
      </c>
      <c r="J27" s="19">
        <f>D27+E27+I27</f>
        <v>1036</v>
      </c>
      <c r="K27" s="19">
        <f>AVERAGE(J24:J27)</f>
        <v>537</v>
      </c>
      <c r="L27" s="19"/>
      <c r="M27" s="19">
        <f>-(H27-I27)+M26</f>
        <v>2840</v>
      </c>
      <c r="N27" s="19"/>
      <c r="O27" s="19">
        <f>1+O26</f>
        <v>24</v>
      </c>
    </row>
    <row r="28" ht="20.05" customHeight="1">
      <c r="B28" s="36">
        <v>2021</v>
      </c>
      <c r="C28" s="18">
        <v>3948.4</v>
      </c>
      <c r="D28" s="19">
        <v>224.4</v>
      </c>
      <c r="E28" s="19">
        <v>-113.4</v>
      </c>
      <c r="F28" s="19">
        <f>H28-G28-I28</f>
        <v>59</v>
      </c>
      <c r="G28" s="19">
        <v>0</v>
      </c>
      <c r="H28" s="19">
        <f>52.9</f>
        <v>52.9</v>
      </c>
      <c r="I28" s="19">
        <v>-6.1</v>
      </c>
      <c r="J28" s="19">
        <f>D28+E28+I28</f>
        <v>104.9</v>
      </c>
      <c r="K28" s="19">
        <f>AVERAGE(J25:J28)</f>
        <v>617.375</v>
      </c>
      <c r="L28" s="19"/>
      <c r="M28" s="19">
        <f>-(H28-I28)+M27</f>
        <v>2781</v>
      </c>
      <c r="N28" s="19"/>
      <c r="O28" s="19">
        <f>1+O27</f>
        <v>25</v>
      </c>
    </row>
    <row r="29" ht="20.05" customHeight="1">
      <c r="B29" s="34"/>
      <c r="C29" s="18">
        <f>8025-C28</f>
        <v>4076.6</v>
      </c>
      <c r="D29" s="19">
        <f>68.2-D28</f>
        <v>-156.2</v>
      </c>
      <c r="E29" s="19">
        <f>-172.9-E28</f>
        <v>-59.5</v>
      </c>
      <c r="F29" s="19">
        <f>H29-G29-I29</f>
        <v>388.2</v>
      </c>
      <c r="G29" s="19">
        <v>0</v>
      </c>
      <c r="H29" s="19">
        <f>434.9-H28</f>
        <v>382</v>
      </c>
      <c r="I29" s="19">
        <f>-12.3-I28</f>
        <v>-6.2</v>
      </c>
      <c r="J29" s="19">
        <f>D29+E29+I29</f>
        <v>-221.9</v>
      </c>
      <c r="K29" s="19">
        <f>AVERAGE(J26:J29)</f>
        <v>424</v>
      </c>
      <c r="L29" s="19"/>
      <c r="M29" s="19">
        <f>-(H29-I29)+M28</f>
        <v>2392.8</v>
      </c>
      <c r="N29" s="19"/>
      <c r="O29" s="19">
        <f>1+O28</f>
        <v>26</v>
      </c>
    </row>
    <row r="30" ht="20.05" customHeight="1">
      <c r="B30" s="34"/>
      <c r="C30" s="18">
        <f>11609.6-SUM(C28:C29)</f>
        <v>3584.6</v>
      </c>
      <c r="D30" s="19">
        <f>-715.3-SUM(D28:D29)</f>
        <v>-783.5</v>
      </c>
      <c r="E30" s="19">
        <f>-239.8-SUM(E28:E29)</f>
        <v>-66.90000000000001</v>
      </c>
      <c r="F30" s="19">
        <f>H30-G30-I30</f>
        <v>275.9</v>
      </c>
      <c r="G30" s="19">
        <v>-31.5</v>
      </c>
      <c r="H30" s="19">
        <f>673.1-SUM(H28:H29)</f>
        <v>238.2</v>
      </c>
      <c r="I30" s="19">
        <f>-18.5-SUM(I28:I29)</f>
        <v>-6.2</v>
      </c>
      <c r="J30" s="19">
        <f>D30+E30+I30</f>
        <v>-856.6</v>
      </c>
      <c r="K30" s="19">
        <f>AVERAGE(J27:J30)</f>
        <v>15.6</v>
      </c>
      <c r="L30" s="19"/>
      <c r="M30" s="19">
        <f>-(H30-I30)+M29</f>
        <v>2148.4</v>
      </c>
      <c r="N30" s="19"/>
      <c r="O30" s="19">
        <f>1+O29</f>
        <v>27</v>
      </c>
    </row>
    <row r="31" ht="20.05" customHeight="1">
      <c r="B31" s="34"/>
      <c r="C31" s="18">
        <f>16813-SUM(C28:C30)</f>
        <v>5203.4</v>
      </c>
      <c r="D31" s="19">
        <f>294.4-SUM(D28:D30)</f>
        <v>1009.7</v>
      </c>
      <c r="E31" s="19">
        <f>-380.9-SUM(E28:E30)</f>
        <v>-141.1</v>
      </c>
      <c r="F31" s="19">
        <f>H31-G31-I31</f>
        <v>-808.4</v>
      </c>
      <c r="G31" s="19">
        <f>-34.7-SUM(G28:G30)</f>
        <v>-3.2</v>
      </c>
      <c r="H31" s="19">
        <f>-144-SUM(H28:H30)</f>
        <v>-817.1</v>
      </c>
      <c r="I31" s="19">
        <f>-24-SUM(I28:I30)</f>
        <v>-5.5</v>
      </c>
      <c r="J31" s="19">
        <f>D31+E31+I31</f>
        <v>863.1</v>
      </c>
      <c r="K31" s="19">
        <f>AVERAGE(J28:J31)</f>
        <v>-27.625</v>
      </c>
      <c r="L31" s="19">
        <f>K31</f>
        <v>-27.625</v>
      </c>
      <c r="M31" s="19">
        <f>-(H31-I31)+M30</f>
        <v>2960</v>
      </c>
      <c r="N31" s="19">
        <f>M31</f>
        <v>2960</v>
      </c>
      <c r="O31" s="19">
        <f>1+O30</f>
        <v>28</v>
      </c>
    </row>
    <row r="32" ht="20.05" customHeight="1">
      <c r="B32" s="36">
        <v>2022</v>
      </c>
      <c r="C32" s="18"/>
      <c r="D32" s="19"/>
      <c r="E32" s="19"/>
      <c r="F32" s="19"/>
      <c r="G32" s="19"/>
      <c r="H32" s="19"/>
      <c r="I32" s="19"/>
      <c r="J32" s="19"/>
      <c r="K32" s="24"/>
      <c r="L32" s="19">
        <f>SUM('Model'!F9:F11)</f>
        <v>236.139298965220</v>
      </c>
      <c r="M32" s="24"/>
      <c r="N32" s="19">
        <f>'Model'!F34</f>
        <v>3783.890158838010</v>
      </c>
      <c r="O32" s="19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8828" style="45" customWidth="1"/>
    <col min="2" max="5" width="10.2578" style="45" customWidth="1"/>
    <col min="6" max="6" hidden="1" width="16.3333" style="45" customWidth="1"/>
    <col min="7" max="11" width="10.2578" style="45" customWidth="1"/>
    <col min="12" max="16384" width="16.3516" style="45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65" customHeight="1">
      <c r="A2" t="s" s="5">
        <v>1</v>
      </c>
      <c r="B2" t="s" s="5">
        <v>54</v>
      </c>
      <c r="C2" t="s" s="5">
        <v>55</v>
      </c>
      <c r="D2" t="s" s="5">
        <v>56</v>
      </c>
      <c r="E2" t="s" s="5">
        <v>25</v>
      </c>
      <c r="F2" t="s" s="46">
        <v>57</v>
      </c>
      <c r="G2" t="s" s="5">
        <v>12</v>
      </c>
      <c r="H2" t="s" s="5">
        <v>15</v>
      </c>
      <c r="I2" t="s" s="5">
        <v>58</v>
      </c>
      <c r="J2" t="s" s="5">
        <v>28</v>
      </c>
      <c r="K2" t="s" s="5">
        <v>36</v>
      </c>
    </row>
    <row r="3" ht="21.1" customHeight="1">
      <c r="A3" s="28">
        <v>2016</v>
      </c>
      <c r="B3" s="42">
        <v>608</v>
      </c>
      <c r="C3" s="31">
        <v>17471</v>
      </c>
      <c r="D3" s="31">
        <f>C3-B3</f>
        <v>16863</v>
      </c>
      <c r="E3" s="31"/>
      <c r="F3" s="47">
        <f>B3+D3+#REF!</f>
      </c>
      <c r="G3" s="31">
        <v>11776</v>
      </c>
      <c r="H3" s="48">
        <v>5695</v>
      </c>
      <c r="I3" s="31">
        <f>G3+H3-B3-D3</f>
        <v>0</v>
      </c>
      <c r="J3" s="31">
        <f>B3-G3</f>
        <v>-11168</v>
      </c>
      <c r="K3" s="31"/>
    </row>
    <row r="4" ht="20.9" customHeight="1">
      <c r="A4" s="34"/>
      <c r="B4" s="18">
        <v>758</v>
      </c>
      <c r="C4" s="19">
        <v>17685</v>
      </c>
      <c r="D4" s="19">
        <f>C4-B4</f>
        <v>16927</v>
      </c>
      <c r="E4" s="19"/>
      <c r="F4" s="37">
        <f>B4+D4+#REF!</f>
      </c>
      <c r="G4" s="19">
        <v>11791</v>
      </c>
      <c r="H4" s="49">
        <v>5893</v>
      </c>
      <c r="I4" s="19">
        <f>G4+H4-B4-D4</f>
        <v>-1</v>
      </c>
      <c r="J4" s="19">
        <f>B4-G4</f>
        <v>-11033</v>
      </c>
      <c r="K4" s="19"/>
    </row>
    <row r="5" ht="20.9" customHeight="1">
      <c r="A5" s="34"/>
      <c r="B5" s="18">
        <v>713</v>
      </c>
      <c r="C5" s="19">
        <v>17962</v>
      </c>
      <c r="D5" s="19">
        <f>C5-B5</f>
        <v>17249</v>
      </c>
      <c r="E5" s="19"/>
      <c r="F5" s="37">
        <f>B5+D5+#REF!</f>
      </c>
      <c r="G5" s="19">
        <v>12207</v>
      </c>
      <c r="H5" s="49">
        <v>5755</v>
      </c>
      <c r="I5" s="19">
        <f>G5+H5-B5-D5</f>
        <v>0</v>
      </c>
      <c r="J5" s="19">
        <f>B5-G5</f>
        <v>-11494</v>
      </c>
      <c r="K5" s="19"/>
    </row>
    <row r="6" ht="20.9" customHeight="1">
      <c r="A6" s="34"/>
      <c r="B6" s="18">
        <v>756</v>
      </c>
      <c r="C6" s="19">
        <v>18697</v>
      </c>
      <c r="D6" s="19">
        <f>C6-B6</f>
        <v>17941</v>
      </c>
      <c r="E6" s="19"/>
      <c r="F6" s="37">
        <f>B6+D6+#REF!</f>
      </c>
      <c r="G6" s="19">
        <v>12850</v>
      </c>
      <c r="H6" s="49">
        <v>5848</v>
      </c>
      <c r="I6" s="19">
        <f>G6+H6-B6-D6</f>
        <v>1</v>
      </c>
      <c r="J6" s="19">
        <f>B6-G6</f>
        <v>-12094</v>
      </c>
      <c r="K6" s="19"/>
    </row>
    <row r="7" ht="20.9" customHeight="1">
      <c r="A7" s="36">
        <v>2017</v>
      </c>
      <c r="B7" s="18">
        <v>361</v>
      </c>
      <c r="C7" s="19">
        <v>19235</v>
      </c>
      <c r="D7" s="19">
        <f>C7-B7</f>
        <v>18874</v>
      </c>
      <c r="E7" s="19">
        <v>7009</v>
      </c>
      <c r="F7" s="37">
        <f>B7+D7+#REF!</f>
      </c>
      <c r="G7" s="19">
        <v>13176</v>
      </c>
      <c r="H7" s="49">
        <v>6059</v>
      </c>
      <c r="I7" s="19">
        <f>G7+H7-B7-D7</f>
        <v>0</v>
      </c>
      <c r="J7" s="19">
        <f>B7-G7</f>
        <v>-12815</v>
      </c>
      <c r="K7" s="19"/>
    </row>
    <row r="8" ht="20.9" customHeight="1">
      <c r="A8" s="34"/>
      <c r="B8" s="18">
        <v>484</v>
      </c>
      <c r="C8" s="19">
        <v>19529</v>
      </c>
      <c r="D8" s="19">
        <f>C8-B8</f>
        <v>19045</v>
      </c>
      <c r="E8" s="19">
        <v>7193</v>
      </c>
      <c r="F8" s="37">
        <f>B8+D8+#REF!</f>
      </c>
      <c r="G8" s="19">
        <v>13902</v>
      </c>
      <c r="H8" s="49">
        <v>5626</v>
      </c>
      <c r="I8" s="19">
        <f>G8+H8-B8-D8</f>
        <v>-1</v>
      </c>
      <c r="J8" s="19">
        <f>B8-G8</f>
        <v>-13418</v>
      </c>
      <c r="K8" s="19"/>
    </row>
    <row r="9" ht="20.9" customHeight="1">
      <c r="A9" s="34"/>
      <c r="B9" s="18">
        <v>613</v>
      </c>
      <c r="C9" s="19">
        <v>18989</v>
      </c>
      <c r="D9" s="19">
        <f>C9-B9</f>
        <v>18376</v>
      </c>
      <c r="E9" s="19">
        <v>7379</v>
      </c>
      <c r="F9" s="37">
        <f>B9+D9+#REF!</f>
      </c>
      <c r="G9" s="19">
        <v>13471</v>
      </c>
      <c r="H9" s="49">
        <v>5517</v>
      </c>
      <c r="I9" s="19">
        <f>G9+H9-B9-D9</f>
        <v>-1</v>
      </c>
      <c r="J9" s="19">
        <f>B9-G9</f>
        <v>-12858</v>
      </c>
      <c r="K9" s="19"/>
    </row>
    <row r="10" ht="20.9" customHeight="1">
      <c r="A10" s="34"/>
      <c r="B10" s="18">
        <v>696</v>
      </c>
      <c r="C10" s="19">
        <v>18191</v>
      </c>
      <c r="D10" s="19">
        <f>C10-B10</f>
        <v>17495</v>
      </c>
      <c r="E10" s="19">
        <v>7489</v>
      </c>
      <c r="F10" s="37">
        <f>B10+D10+#REF!</f>
      </c>
      <c r="G10" s="19">
        <v>12502</v>
      </c>
      <c r="H10" s="49">
        <v>5689</v>
      </c>
      <c r="I10" s="19">
        <f>G10+H10-B10-D10</f>
        <v>0</v>
      </c>
      <c r="J10" s="19">
        <f>B10-G10</f>
        <v>-11806</v>
      </c>
      <c r="K10" s="19"/>
    </row>
    <row r="11" ht="20.9" customHeight="1">
      <c r="A11" s="36">
        <v>2018</v>
      </c>
      <c r="B11" s="18">
        <v>1687</v>
      </c>
      <c r="C11" s="19">
        <v>19162</v>
      </c>
      <c r="D11" s="19">
        <f>C11-B11</f>
        <v>17475</v>
      </c>
      <c r="E11" s="19">
        <v>7657</v>
      </c>
      <c r="F11" s="37">
        <f>B11+D11+#REF!</f>
      </c>
      <c r="G11" s="19">
        <v>13375</v>
      </c>
      <c r="H11" s="49">
        <v>5787</v>
      </c>
      <c r="I11" s="19">
        <f>G11+H11-B11-D11</f>
        <v>0</v>
      </c>
      <c r="J11" s="19">
        <f>B11-G11</f>
        <v>-11688</v>
      </c>
      <c r="K11" s="19"/>
    </row>
    <row r="12" ht="20.9" customHeight="1">
      <c r="A12" s="34"/>
      <c r="B12" s="18">
        <v>1533</v>
      </c>
      <c r="C12" s="19">
        <v>19188</v>
      </c>
      <c r="D12" s="19">
        <f>C12-B12</f>
        <v>17655</v>
      </c>
      <c r="E12" s="19">
        <v>10083</v>
      </c>
      <c r="F12" s="37">
        <f>B12+D12+#REF!</f>
      </c>
      <c r="G12" s="19">
        <v>13496</v>
      </c>
      <c r="H12" s="49">
        <v>5692</v>
      </c>
      <c r="I12" s="19">
        <f>G12+H12-B12-D12</f>
        <v>0</v>
      </c>
      <c r="J12" s="19">
        <f>B12-G12</f>
        <v>-11963</v>
      </c>
      <c r="K12" s="19"/>
    </row>
    <row r="13" ht="20.9" customHeight="1">
      <c r="A13" s="34"/>
      <c r="B13" s="18">
        <v>837</v>
      </c>
      <c r="C13" s="19">
        <v>19712</v>
      </c>
      <c r="D13" s="19">
        <f>C13-B13</f>
        <v>18875</v>
      </c>
      <c r="E13" s="19">
        <v>10354</v>
      </c>
      <c r="F13" s="37">
        <f>B13+D13+#REF!</f>
      </c>
      <c r="G13" s="19">
        <v>14131</v>
      </c>
      <c r="H13" s="49">
        <v>5581</v>
      </c>
      <c r="I13" s="19">
        <f>G13+H13-B13-D13</f>
        <v>0</v>
      </c>
      <c r="J13" s="19">
        <f>B13-G13</f>
        <v>-13294</v>
      </c>
      <c r="K13" s="19"/>
    </row>
    <row r="14" ht="20.9" customHeight="1">
      <c r="A14" s="34"/>
      <c r="B14" s="18">
        <v>671</v>
      </c>
      <c r="C14" s="19">
        <v>19711</v>
      </c>
      <c r="D14" s="19">
        <f>C14-B14</f>
        <v>19040</v>
      </c>
      <c r="E14" s="19">
        <f>10462+18</f>
        <v>10480</v>
      </c>
      <c r="F14" s="37">
        <f>B14+D14+#REF!</f>
      </c>
      <c r="G14" s="19">
        <v>13835</v>
      </c>
      <c r="H14" s="49">
        <v>5875</v>
      </c>
      <c r="I14" s="19">
        <f>G14+H14-B14-D14</f>
        <v>-1</v>
      </c>
      <c r="J14" s="19">
        <f>B14-G14</f>
        <v>-13164</v>
      </c>
      <c r="K14" s="19"/>
    </row>
    <row r="15" ht="20.9" customHeight="1">
      <c r="A15" s="36">
        <v>2019</v>
      </c>
      <c r="B15" s="18">
        <v>549</v>
      </c>
      <c r="C15" s="19">
        <v>20005</v>
      </c>
      <c r="D15" s="19">
        <f>C15-B15</f>
        <v>19456</v>
      </c>
      <c r="E15" s="19">
        <v>10598</v>
      </c>
      <c r="F15" s="37">
        <f>B15+D15+#REF!</f>
      </c>
      <c r="G15" s="19">
        <v>13977</v>
      </c>
      <c r="H15" s="49">
        <v>6028</v>
      </c>
      <c r="I15" s="19">
        <f>G15+H15-B15-D15</f>
        <v>0</v>
      </c>
      <c r="J15" s="19">
        <f>B15-G15</f>
        <v>-13428</v>
      </c>
      <c r="K15" s="19"/>
    </row>
    <row r="16" ht="20.9" customHeight="1">
      <c r="A16" s="34"/>
      <c r="B16" s="18">
        <v>727</v>
      </c>
      <c r="C16" s="19">
        <v>19302</v>
      </c>
      <c r="D16" s="19">
        <f>C16-B16</f>
        <v>18575</v>
      </c>
      <c r="E16" s="19">
        <v>10716</v>
      </c>
      <c r="F16" s="37">
        <f>B16+D16+#REF!</f>
      </c>
      <c r="G16" s="19">
        <v>13293</v>
      </c>
      <c r="H16" s="49">
        <v>6010</v>
      </c>
      <c r="I16" s="19">
        <f>G16+H16-B16-D16</f>
        <v>1</v>
      </c>
      <c r="J16" s="19">
        <f>B16-G16</f>
        <v>-12566</v>
      </c>
      <c r="K16" s="19"/>
    </row>
    <row r="17" ht="20.9" customHeight="1">
      <c r="A17" s="34"/>
      <c r="B17" s="18">
        <v>657</v>
      </c>
      <c r="C17" s="19">
        <v>19231</v>
      </c>
      <c r="D17" s="19">
        <f>C17-B17</f>
        <v>18574</v>
      </c>
      <c r="E17" s="19">
        <v>10896</v>
      </c>
      <c r="F17" s="37">
        <f>B17+D17+#REF!</f>
      </c>
      <c r="G17" s="19">
        <v>13246</v>
      </c>
      <c r="H17" s="49">
        <v>5985</v>
      </c>
      <c r="I17" s="19">
        <f>G17+H17-B17-D17</f>
        <v>0</v>
      </c>
      <c r="J17" s="19">
        <f>B17-G17</f>
        <v>-12589</v>
      </c>
      <c r="K17" s="19"/>
    </row>
    <row r="18" ht="20.9" customHeight="1">
      <c r="A18" s="34"/>
      <c r="B18" s="18">
        <v>635</v>
      </c>
      <c r="C18" s="19">
        <v>18856</v>
      </c>
      <c r="D18" s="19">
        <f>C18-B18</f>
        <v>18221</v>
      </c>
      <c r="E18" s="19">
        <f>11007+24</f>
        <v>11031</v>
      </c>
      <c r="F18" s="37">
        <f>B18+D18+#REF!</f>
      </c>
      <c r="G18" s="19">
        <v>12620</v>
      </c>
      <c r="H18" s="49">
        <v>6236</v>
      </c>
      <c r="I18" s="19">
        <f>G18+H18-B18-D18</f>
        <v>0</v>
      </c>
      <c r="J18" s="19">
        <f>B18-G18</f>
        <v>-11985</v>
      </c>
      <c r="K18" s="19"/>
    </row>
    <row r="19" ht="20.9" customHeight="1">
      <c r="A19" s="36">
        <v>2020</v>
      </c>
      <c r="B19" s="18">
        <v>681</v>
      </c>
      <c r="C19" s="19">
        <v>20450</v>
      </c>
      <c r="D19" s="19">
        <f>C19-B19</f>
        <v>19769</v>
      </c>
      <c r="E19" s="19">
        <f>29.7+11580.5</f>
        <v>11610.2</v>
      </c>
      <c r="F19" s="37">
        <f>B19+D19+#REF!</f>
      </c>
      <c r="G19" s="19">
        <v>14385</v>
      </c>
      <c r="H19" s="49">
        <v>6065</v>
      </c>
      <c r="I19" s="19">
        <f>G19+H19-B19-D19</f>
        <v>0</v>
      </c>
      <c r="J19" s="19">
        <f>B19-G19</f>
        <v>-13704</v>
      </c>
      <c r="K19" s="19"/>
    </row>
    <row r="20" ht="20.9" customHeight="1">
      <c r="A20" s="34"/>
      <c r="B20" s="18">
        <v>724</v>
      </c>
      <c r="C20" s="19">
        <v>18366</v>
      </c>
      <c r="D20" s="19">
        <f>C20-B20</f>
        <v>17642</v>
      </c>
      <c r="E20" s="19">
        <f>11413+28</f>
        <v>11441</v>
      </c>
      <c r="F20" s="37">
        <f>B20+D20+#REF!</f>
      </c>
      <c r="G20" s="19">
        <v>12240</v>
      </c>
      <c r="H20" s="49">
        <v>6126</v>
      </c>
      <c r="I20" s="19">
        <f>G20+H20-B20-D20</f>
        <v>0</v>
      </c>
      <c r="J20" s="19">
        <f>B20-G20</f>
        <v>-11516</v>
      </c>
      <c r="K20" s="19"/>
    </row>
    <row r="21" ht="20.9" customHeight="1">
      <c r="A21" s="34"/>
      <c r="B21" s="18">
        <v>699</v>
      </c>
      <c r="C21" s="19">
        <v>17975</v>
      </c>
      <c r="D21" s="19">
        <f>C21-B21</f>
        <v>17276</v>
      </c>
      <c r="E21" s="19">
        <f>31+11685</f>
        <v>11716</v>
      </c>
      <c r="F21" s="37">
        <f>B21+D21+#REF!</f>
      </c>
      <c r="G21" s="19">
        <v>11761</v>
      </c>
      <c r="H21" s="49">
        <v>6214</v>
      </c>
      <c r="I21" s="19">
        <f>G21+H21-B21-D21</f>
        <v>0</v>
      </c>
      <c r="J21" s="19">
        <f>B21-G21</f>
        <v>-11062</v>
      </c>
      <c r="K21" s="19"/>
    </row>
    <row r="22" ht="20.9" customHeight="1">
      <c r="A22" s="34"/>
      <c r="B22" s="18">
        <v>1045</v>
      </c>
      <c r="C22" s="19">
        <v>17782</v>
      </c>
      <c r="D22" s="19">
        <f>C22-B22</f>
        <v>16737</v>
      </c>
      <c r="E22" s="19">
        <f>E21+'Sales'!E27</f>
        <v>11893</v>
      </c>
      <c r="F22" s="37">
        <f>B22+D22+#REF!</f>
      </c>
      <c r="G22" s="19">
        <v>10927</v>
      </c>
      <c r="H22" s="19">
        <v>6855</v>
      </c>
      <c r="I22" s="19">
        <f>G22+H22-B22-D22</f>
        <v>0</v>
      </c>
      <c r="J22" s="19">
        <f>B22-G22</f>
        <v>-9882</v>
      </c>
      <c r="K22" s="19"/>
    </row>
    <row r="23" ht="20.9" customHeight="1">
      <c r="A23" s="36">
        <v>2021</v>
      </c>
      <c r="B23" s="18">
        <v>1224</v>
      </c>
      <c r="C23" s="19">
        <v>18538</v>
      </c>
      <c r="D23" s="19">
        <f>C23-B23</f>
        <v>17314</v>
      </c>
      <c r="E23" s="19">
        <f>33+11973</f>
        <v>12006</v>
      </c>
      <c r="F23" s="37">
        <f>B23+D23+#REF!</f>
      </c>
      <c r="G23" s="19">
        <v>11374</v>
      </c>
      <c r="H23" s="19">
        <v>7164</v>
      </c>
      <c r="I23" s="19">
        <f>G23+H23-B23-D23</f>
        <v>0</v>
      </c>
      <c r="J23" s="19">
        <f>B23-G23</f>
        <v>-10150</v>
      </c>
      <c r="K23" s="19"/>
    </row>
    <row r="24" ht="20.9" customHeight="1">
      <c r="A24" s="34"/>
      <c r="B24" s="18">
        <v>1393</v>
      </c>
      <c r="C24" s="19">
        <v>18890</v>
      </c>
      <c r="D24" s="19">
        <f>C24-B24</f>
        <v>17497</v>
      </c>
      <c r="E24" s="19">
        <f>36+12126</f>
        <v>12162</v>
      </c>
      <c r="F24" s="37">
        <f>B24+D24+#REF!</f>
      </c>
      <c r="G24" s="19">
        <v>11750</v>
      </c>
      <c r="H24" s="19">
        <v>7140</v>
      </c>
      <c r="I24" s="19">
        <f>G24+H24-B24-D24</f>
        <v>0</v>
      </c>
      <c r="J24" s="19">
        <f>B24-G24</f>
        <v>-10357</v>
      </c>
      <c r="K24" s="19"/>
    </row>
    <row r="25" ht="20.9" customHeight="1">
      <c r="A25" s="34"/>
      <c r="B25" s="18">
        <v>816</v>
      </c>
      <c r="C25" s="19">
        <v>19275</v>
      </c>
      <c r="D25" s="19">
        <f>C25-B25</f>
        <v>18459</v>
      </c>
      <c r="E25" s="19">
        <f>37+12269</f>
        <v>12306</v>
      </c>
      <c r="F25" s="37">
        <f>B25+D25+#REF!</f>
      </c>
      <c r="G25" s="19">
        <v>12269</v>
      </c>
      <c r="H25" s="19">
        <v>7006</v>
      </c>
      <c r="I25" s="19">
        <f>G25+H25-B25-D25</f>
        <v>0</v>
      </c>
      <c r="J25" s="19">
        <f>B25-G25</f>
        <v>-11453</v>
      </c>
      <c r="K25" s="19"/>
    </row>
    <row r="26" ht="20.9" customHeight="1">
      <c r="A26" s="34"/>
      <c r="B26" s="18">
        <v>839</v>
      </c>
      <c r="C26" s="19">
        <v>18449</v>
      </c>
      <c r="D26" s="19">
        <f>C26-B26</f>
        <v>17610</v>
      </c>
      <c r="E26" s="19">
        <f>39+12385</f>
        <v>12424</v>
      </c>
      <c r="F26" s="37">
        <f>B26+D26+#REF!</f>
      </c>
      <c r="G26" s="19">
        <v>11481</v>
      </c>
      <c r="H26" s="19">
        <v>6968</v>
      </c>
      <c r="I26" s="19">
        <f>G26+H26-B26-D26</f>
        <v>0</v>
      </c>
      <c r="J26" s="19">
        <f>B26-G26</f>
        <v>-10642</v>
      </c>
      <c r="K26" s="19">
        <f>J26</f>
        <v>-10642</v>
      </c>
    </row>
    <row r="27" ht="20.9" customHeight="1">
      <c r="A27" s="36">
        <v>2022</v>
      </c>
      <c r="B27" s="18"/>
      <c r="C27" s="19"/>
      <c r="D27" s="19"/>
      <c r="E27" s="19"/>
      <c r="F27" s="37">
        <f>B27+D27+#REF!</f>
      </c>
      <c r="G27" s="19"/>
      <c r="H27" s="19"/>
      <c r="I27" s="19"/>
      <c r="J27" s="19"/>
      <c r="K27" s="19">
        <f>'Model'!F32</f>
        <v>-9878.987872929591</v>
      </c>
    </row>
  </sheetData>
  <mergeCells count="1">
    <mergeCell ref="A1:K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7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50" customWidth="1"/>
    <col min="2" max="4" width="11.8516" style="50" customWidth="1"/>
    <col min="5" max="16384" width="8.35156" style="50" customWidth="1"/>
  </cols>
  <sheetData>
    <row r="1" ht="27.65" customHeight="1">
      <c r="A1" t="s" s="2">
        <v>59</v>
      </c>
      <c r="B1" s="2"/>
      <c r="C1" s="2"/>
      <c r="D1" s="2"/>
    </row>
    <row r="2" ht="20.25" customHeight="1">
      <c r="A2" s="51"/>
      <c r="B2" t="s" s="52">
        <v>60</v>
      </c>
      <c r="C2" t="s" s="52">
        <v>39</v>
      </c>
      <c r="D2" t="s" s="5">
        <v>61</v>
      </c>
    </row>
    <row r="3" ht="20.25" customHeight="1">
      <c r="A3" s="53">
        <v>2014</v>
      </c>
      <c r="B3" s="54">
        <v>2125</v>
      </c>
      <c r="C3" s="55"/>
      <c r="D3" s="55"/>
    </row>
    <row r="4" ht="20.05" customHeight="1">
      <c r="A4" s="56"/>
      <c r="B4" s="57">
        <v>1830</v>
      </c>
      <c r="C4" s="58"/>
      <c r="D4" s="58"/>
    </row>
    <row r="5" ht="20.05" customHeight="1">
      <c r="A5" s="56"/>
      <c r="B5" s="57">
        <v>1550</v>
      </c>
      <c r="C5" s="58"/>
      <c r="D5" s="58"/>
    </row>
    <row r="6" ht="20.05" customHeight="1">
      <c r="A6" s="56"/>
      <c r="B6" s="57">
        <v>1425</v>
      </c>
      <c r="C6" s="58"/>
      <c r="D6" s="58"/>
    </row>
    <row r="7" ht="20.05" customHeight="1">
      <c r="A7" s="59">
        <v>2015</v>
      </c>
      <c r="B7" s="57">
        <v>1325</v>
      </c>
      <c r="C7" s="58"/>
      <c r="D7" s="58"/>
    </row>
    <row r="8" ht="20.05" customHeight="1">
      <c r="A8" s="56"/>
      <c r="B8" s="57">
        <v>855</v>
      </c>
      <c r="C8" s="58"/>
      <c r="D8" s="58"/>
    </row>
    <row r="9" ht="20.05" customHeight="1">
      <c r="A9" s="56"/>
      <c r="B9" s="57">
        <v>525</v>
      </c>
      <c r="C9" s="58"/>
      <c r="D9" s="58"/>
    </row>
    <row r="10" ht="20.05" customHeight="1">
      <c r="A10" s="56"/>
      <c r="B10" s="57">
        <v>530</v>
      </c>
      <c r="C10" s="58"/>
      <c r="D10" s="58"/>
    </row>
    <row r="11" ht="20.05" customHeight="1">
      <c r="A11" s="59">
        <v>2016</v>
      </c>
      <c r="B11" s="60">
        <v>735</v>
      </c>
      <c r="C11" s="58"/>
      <c r="D11" s="58"/>
    </row>
    <row r="12" ht="20.05" customHeight="1">
      <c r="A12" s="56"/>
      <c r="B12" s="60">
        <v>975</v>
      </c>
      <c r="C12" s="58"/>
      <c r="D12" s="58"/>
    </row>
    <row r="13" ht="20.05" customHeight="1">
      <c r="A13" s="56"/>
      <c r="B13" s="57">
        <v>1500</v>
      </c>
      <c r="C13" s="58"/>
      <c r="D13" s="58"/>
    </row>
    <row r="14" ht="20.05" customHeight="1">
      <c r="A14" s="56"/>
      <c r="B14" s="57">
        <v>1070</v>
      </c>
      <c r="C14" s="58"/>
      <c r="D14" s="58"/>
    </row>
    <row r="15" ht="20.05" customHeight="1">
      <c r="A15" s="59">
        <v>2017</v>
      </c>
      <c r="B15" s="57">
        <v>1130</v>
      </c>
      <c r="C15" s="58"/>
      <c r="D15" s="58"/>
    </row>
    <row r="16" ht="20.05" customHeight="1">
      <c r="A16" s="56"/>
      <c r="B16" s="57">
        <v>1130</v>
      </c>
      <c r="C16" s="58"/>
      <c r="D16" s="58"/>
    </row>
    <row r="17" ht="20.05" customHeight="1">
      <c r="A17" s="56"/>
      <c r="B17" s="60">
        <v>685</v>
      </c>
      <c r="C17" s="58"/>
      <c r="D17" s="58"/>
    </row>
    <row r="18" ht="20.05" customHeight="1">
      <c r="A18" s="56"/>
      <c r="B18" s="60">
        <v>680</v>
      </c>
      <c r="C18" s="58"/>
      <c r="D18" s="58"/>
    </row>
    <row r="19" ht="20.05" customHeight="1">
      <c r="A19" s="59">
        <v>2018</v>
      </c>
      <c r="B19" s="60">
        <v>810</v>
      </c>
      <c r="C19" s="58"/>
      <c r="D19" s="58"/>
    </row>
    <row r="20" ht="20.05" customHeight="1">
      <c r="A20" s="56"/>
      <c r="B20" s="60">
        <v>690</v>
      </c>
      <c r="C20" s="58"/>
      <c r="D20" s="58"/>
    </row>
    <row r="21" ht="20.05" customHeight="1">
      <c r="A21" s="56"/>
      <c r="B21" s="60">
        <v>630</v>
      </c>
      <c r="C21" s="58"/>
      <c r="D21" s="58"/>
    </row>
    <row r="22" ht="20.05" customHeight="1">
      <c r="A22" s="56"/>
      <c r="B22" s="60">
        <v>650</v>
      </c>
      <c r="C22" s="58"/>
      <c r="D22" s="58"/>
    </row>
    <row r="23" ht="20.05" customHeight="1">
      <c r="A23" s="59">
        <v>2019</v>
      </c>
      <c r="B23" s="60">
        <v>695</v>
      </c>
      <c r="C23" s="58"/>
      <c r="D23" s="58"/>
    </row>
    <row r="24" ht="20.05" customHeight="1">
      <c r="A24" s="56"/>
      <c r="B24" s="60">
        <v>715</v>
      </c>
      <c r="C24" s="58"/>
      <c r="D24" s="58"/>
    </row>
    <row r="25" ht="20.05" customHeight="1">
      <c r="A25" s="56"/>
      <c r="B25" s="60">
        <v>630</v>
      </c>
      <c r="C25" s="58"/>
      <c r="D25" s="58"/>
    </row>
    <row r="26" ht="20.05" customHeight="1">
      <c r="A26" s="56"/>
      <c r="B26" s="57">
        <v>585</v>
      </c>
      <c r="C26" s="58"/>
      <c r="D26" s="58"/>
    </row>
    <row r="27" ht="20.05" customHeight="1">
      <c r="A27" s="59">
        <v>2020</v>
      </c>
      <c r="B27" s="60">
        <v>296</v>
      </c>
      <c r="C27" s="58"/>
      <c r="D27" s="58"/>
    </row>
    <row r="28" ht="20.05" customHeight="1">
      <c r="A28" s="56"/>
      <c r="B28" s="60">
        <v>384</v>
      </c>
      <c r="C28" s="58"/>
      <c r="D28" s="58"/>
    </row>
    <row r="29" ht="20.05" customHeight="1">
      <c r="A29" s="56"/>
      <c r="B29" s="57">
        <v>440</v>
      </c>
      <c r="C29" s="58"/>
      <c r="D29" s="58"/>
    </row>
    <row r="30" ht="20.05" customHeight="1">
      <c r="A30" s="56"/>
      <c r="B30" s="57">
        <v>655</v>
      </c>
      <c r="C30" s="58"/>
      <c r="D30" s="58"/>
    </row>
    <row r="31" ht="20.05" customHeight="1">
      <c r="A31" s="59">
        <v>2021</v>
      </c>
      <c r="B31" s="57">
        <v>880</v>
      </c>
      <c r="C31" s="58"/>
      <c r="D31" s="58"/>
    </row>
    <row r="32" ht="20.05" customHeight="1">
      <c r="A32" s="56"/>
      <c r="B32" s="57">
        <v>760</v>
      </c>
      <c r="C32" s="58"/>
      <c r="D32" s="58"/>
    </row>
    <row r="33" ht="20.05" customHeight="1">
      <c r="A33" s="56"/>
      <c r="B33" s="57">
        <v>715</v>
      </c>
      <c r="C33" s="58"/>
      <c r="D33" s="58"/>
    </row>
    <row r="34" ht="20.05" customHeight="1">
      <c r="A34" s="56"/>
      <c r="B34" s="57">
        <v>665</v>
      </c>
      <c r="C34" s="58"/>
      <c r="D34" s="58"/>
    </row>
    <row r="35" ht="20.05" customHeight="1">
      <c r="A35" s="59">
        <v>2022</v>
      </c>
      <c r="B35" s="57">
        <v>625</v>
      </c>
      <c r="C35" s="58"/>
      <c r="D35" s="61">
        <v>2615.717646294050</v>
      </c>
    </row>
    <row r="36" ht="20.05" customHeight="1">
      <c r="A36" s="56"/>
      <c r="B36" s="57">
        <v>620</v>
      </c>
      <c r="C36" s="62">
        <f>B36</f>
        <v>620</v>
      </c>
      <c r="D36" s="58"/>
    </row>
    <row r="37" ht="20.05" customHeight="1">
      <c r="A37" s="56"/>
      <c r="B37" s="57"/>
      <c r="C37" s="61">
        <f>'Model'!F45</f>
        <v>1456.585456885870</v>
      </c>
      <c r="D37" s="58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T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2.3984" style="63" customWidth="1"/>
    <col min="9" max="20" width="11.375" style="66" customWidth="1"/>
    <col min="21" max="16384" width="16.3516" style="66" customWidth="1"/>
  </cols>
  <sheetData>
    <row r="1" ht="27.65" customHeight="1">
      <c r="A1" t="s" s="2">
        <v>62</v>
      </c>
      <c r="B1" s="2"/>
      <c r="C1" s="2"/>
      <c r="D1" s="2"/>
      <c r="E1" s="2"/>
      <c r="F1" s="2"/>
      <c r="G1" s="2"/>
      <c r="H1" s="2"/>
    </row>
    <row r="2" ht="20.25" customHeight="1">
      <c r="A2" t="s" s="5">
        <v>1</v>
      </c>
      <c r="B2" t="s" s="5">
        <v>12</v>
      </c>
      <c r="C2" t="s" s="5">
        <v>15</v>
      </c>
      <c r="D2" t="s" s="5">
        <v>63</v>
      </c>
      <c r="E2" t="s" s="5">
        <v>12</v>
      </c>
      <c r="F2" t="s" s="5">
        <v>15</v>
      </c>
      <c r="G2" t="s" s="5">
        <v>63</v>
      </c>
      <c r="H2" s="4"/>
    </row>
    <row r="3" ht="20.25" customHeight="1">
      <c r="A3" s="28">
        <v>2005</v>
      </c>
      <c r="B3" s="42"/>
      <c r="C3" s="31"/>
      <c r="D3" s="31">
        <f>B3+C3</f>
        <v>0</v>
      </c>
      <c r="E3" s="31">
        <f>B3</f>
        <v>0</v>
      </c>
      <c r="F3" s="31">
        <f>C3</f>
        <v>0</v>
      </c>
      <c r="G3" s="31">
        <f>D3</f>
        <v>0</v>
      </c>
      <c r="H3" s="64"/>
    </row>
    <row r="4" ht="20.05" customHeight="1">
      <c r="A4" s="36">
        <f>1+$A3</f>
        <v>2006</v>
      </c>
      <c r="B4" s="65">
        <v>-145</v>
      </c>
      <c r="C4" s="19">
        <v>-16</v>
      </c>
      <c r="D4" s="19">
        <f>B4+C4</f>
        <v>-161</v>
      </c>
      <c r="E4" s="19">
        <f>B4+E3</f>
        <v>-145</v>
      </c>
      <c r="F4" s="19">
        <f>C4+F3</f>
        <v>-16</v>
      </c>
      <c r="G4" s="19">
        <f>D4+G3</f>
        <v>-161</v>
      </c>
      <c r="H4" s="38"/>
    </row>
    <row r="5" ht="20.05" customHeight="1">
      <c r="A5" s="36">
        <f>1+$A4</f>
        <v>2007</v>
      </c>
      <c r="B5" s="65">
        <f>881-187</f>
        <v>694</v>
      </c>
      <c r="C5" s="19">
        <f>158-13</f>
        <v>145</v>
      </c>
      <c r="D5" s="19">
        <f>B5+C5</f>
        <v>839</v>
      </c>
      <c r="E5" s="19">
        <f>B5+E4</f>
        <v>549</v>
      </c>
      <c r="F5" s="19">
        <f>C5+F4</f>
        <v>129</v>
      </c>
      <c r="G5" s="19">
        <f>D5+G4</f>
        <v>678</v>
      </c>
      <c r="H5" s="38"/>
    </row>
    <row r="6" ht="20.05" customHeight="1">
      <c r="A6" s="36">
        <f>1+$A5</f>
        <v>2008</v>
      </c>
      <c r="B6" s="18">
        <f>-513-C6</f>
        <v>-496</v>
      </c>
      <c r="C6" s="19">
        <v>-17</v>
      </c>
      <c r="D6" s="19">
        <f>B6+C6</f>
        <v>-513</v>
      </c>
      <c r="E6" s="19">
        <f>B6+E5</f>
        <v>53</v>
      </c>
      <c r="F6" s="19">
        <f>C6+F5</f>
        <v>112</v>
      </c>
      <c r="G6" s="19">
        <f>D6+G5</f>
        <v>165</v>
      </c>
      <c r="H6" s="38"/>
    </row>
    <row r="7" ht="20.05" customHeight="1">
      <c r="A7" s="36">
        <f>1+$A6</f>
        <v>2009</v>
      </c>
      <c r="B7" s="18">
        <v>-50</v>
      </c>
      <c r="C7" s="19">
        <v>0</v>
      </c>
      <c r="D7" s="19">
        <f>B7+C7</f>
        <v>-50</v>
      </c>
      <c r="E7" s="19">
        <f>B7+E6</f>
        <v>3</v>
      </c>
      <c r="F7" s="19">
        <f>C7+F6</f>
        <v>112</v>
      </c>
      <c r="G7" s="19">
        <f>D7+G6</f>
        <v>115</v>
      </c>
      <c r="H7" s="38"/>
    </row>
    <row r="8" ht="20.05" customHeight="1">
      <c r="A8" s="36">
        <f>1+$A7</f>
        <v>2010</v>
      </c>
      <c r="B8" s="18">
        <v>0</v>
      </c>
      <c r="C8" s="19">
        <v>-59</v>
      </c>
      <c r="D8" s="19">
        <f>B8+C8</f>
        <v>-59</v>
      </c>
      <c r="E8" s="19">
        <f>B8+E7</f>
        <v>3</v>
      </c>
      <c r="F8" s="19">
        <f>C8+F7</f>
        <v>53</v>
      </c>
      <c r="G8" s="19">
        <f>D8+G7</f>
        <v>56</v>
      </c>
      <c r="H8" s="38"/>
    </row>
    <row r="9" ht="20.05" customHeight="1">
      <c r="A9" s="36">
        <f>1+$A8</f>
        <v>2011</v>
      </c>
      <c r="B9" s="18">
        <v>13</v>
      </c>
      <c r="C9" s="19">
        <v>-45</v>
      </c>
      <c r="D9" s="19">
        <f>B9+C9</f>
        <v>-32</v>
      </c>
      <c r="E9" s="19">
        <f>B9+E8</f>
        <v>16</v>
      </c>
      <c r="F9" s="19">
        <f>C9+F8</f>
        <v>8</v>
      </c>
      <c r="G9" s="19">
        <f>D9+G8</f>
        <v>24</v>
      </c>
      <c r="H9" s="38"/>
    </row>
    <row r="10" ht="20.05" customHeight="1">
      <c r="A10" s="36">
        <f>1+$A9</f>
        <v>2012</v>
      </c>
      <c r="B10" s="18">
        <v>-13</v>
      </c>
      <c r="C10" s="19">
        <v>-35</v>
      </c>
      <c r="D10" s="19">
        <f>B10+C10</f>
        <v>-48</v>
      </c>
      <c r="E10" s="19">
        <f>B10+E9</f>
        <v>3</v>
      </c>
      <c r="F10" s="19">
        <f>C10+F9</f>
        <v>-27</v>
      </c>
      <c r="G10" s="19">
        <f>D10+G9</f>
        <v>-24</v>
      </c>
      <c r="H10" s="38"/>
    </row>
    <row r="11" ht="20.05" customHeight="1">
      <c r="A11" s="36">
        <f>1+$A10</f>
        <v>2013</v>
      </c>
      <c r="B11" s="18">
        <f>4801-4034</f>
        <v>767</v>
      </c>
      <c r="C11" s="19">
        <v>-94</v>
      </c>
      <c r="D11" s="19">
        <f>B11+C11</f>
        <v>673</v>
      </c>
      <c r="E11" s="19">
        <f>B11+E10</f>
        <v>770</v>
      </c>
      <c r="F11" s="19">
        <f>C11+F10</f>
        <v>-121</v>
      </c>
      <c r="G11" s="19">
        <f>D11+G10</f>
        <v>649</v>
      </c>
      <c r="H11" s="38"/>
    </row>
    <row r="12" ht="20.05" customHeight="1">
      <c r="A12" s="36">
        <f>1+$A11</f>
        <v>2014</v>
      </c>
      <c r="B12" s="18">
        <f>481-248</f>
        <v>233</v>
      </c>
      <c r="C12" s="19">
        <v>-35</v>
      </c>
      <c r="D12" s="19">
        <f>B12+C12</f>
        <v>198</v>
      </c>
      <c r="E12" s="19">
        <f>B12+E11</f>
        <v>1003</v>
      </c>
      <c r="F12" s="19">
        <f>C12+F11</f>
        <v>-156</v>
      </c>
      <c r="G12" s="19">
        <f>D12+G11</f>
        <v>847</v>
      </c>
      <c r="H12" s="38"/>
    </row>
    <row r="13" ht="20.05" customHeight="1">
      <c r="A13" s="36">
        <f>1+$A12</f>
        <v>2015</v>
      </c>
      <c r="B13" s="18">
        <f>2585-2274</f>
        <v>311</v>
      </c>
      <c r="C13" s="19">
        <v>-35</v>
      </c>
      <c r="D13" s="19">
        <f>B13+C13</f>
        <v>276</v>
      </c>
      <c r="E13" s="19">
        <f>B13+E12</f>
        <v>1314</v>
      </c>
      <c r="F13" s="19">
        <f>C13+F12</f>
        <v>-191</v>
      </c>
      <c r="G13" s="19">
        <f>D13+G12</f>
        <v>1123</v>
      </c>
      <c r="H13" s="38"/>
    </row>
    <row r="14" ht="20.05" customHeight="1">
      <c r="A14" s="36">
        <f>1+$A13</f>
        <v>2016</v>
      </c>
      <c r="B14" s="18">
        <v>-45</v>
      </c>
      <c r="C14" s="19">
        <v>0</v>
      </c>
      <c r="D14" s="19">
        <f>B14+C14</f>
        <v>-45</v>
      </c>
      <c r="E14" s="19">
        <f>B14+E13</f>
        <v>1269</v>
      </c>
      <c r="F14" s="19">
        <f>C14+F13</f>
        <v>-191</v>
      </c>
      <c r="G14" s="19">
        <f>D14+G13</f>
        <v>1078</v>
      </c>
      <c r="H14" s="38"/>
    </row>
    <row r="15" ht="20.05" customHeight="1">
      <c r="A15" s="36">
        <f>1+$A14</f>
        <v>2017</v>
      </c>
      <c r="B15" s="18">
        <v>-79</v>
      </c>
      <c r="C15" s="19">
        <v>-49</v>
      </c>
      <c r="D15" s="19">
        <f>B15+C15</f>
        <v>-128</v>
      </c>
      <c r="E15" s="19">
        <f>B15+E14</f>
        <v>1190</v>
      </c>
      <c r="F15" s="19">
        <f>C15+F14</f>
        <v>-240</v>
      </c>
      <c r="G15" s="19">
        <f>D15+G14</f>
        <v>950</v>
      </c>
      <c r="H15" s="38"/>
    </row>
    <row r="16" ht="20.05" customHeight="1">
      <c r="A16" s="36">
        <f>1+$A15</f>
        <v>2018</v>
      </c>
      <c r="B16" s="18">
        <f>577-528</f>
        <v>49</v>
      </c>
      <c r="C16" s="19">
        <v>0</v>
      </c>
      <c r="D16" s="19">
        <f>B16+C16</f>
        <v>49</v>
      </c>
      <c r="E16" s="19">
        <f>B16+E15</f>
        <v>1239</v>
      </c>
      <c r="F16" s="19">
        <f>C16+F15</f>
        <v>-240</v>
      </c>
      <c r="G16" s="19">
        <f>D16+G15</f>
        <v>999</v>
      </c>
      <c r="H16" s="38"/>
    </row>
    <row r="17" ht="20.05" customHeight="1">
      <c r="A17" s="36">
        <f>1+$A16</f>
        <v>2019</v>
      </c>
      <c r="B17" s="18">
        <f>27-705</f>
        <v>-678</v>
      </c>
      <c r="C17" s="19">
        <v>0</v>
      </c>
      <c r="D17" s="19">
        <f>B17+C17</f>
        <v>-678</v>
      </c>
      <c r="E17" s="19">
        <f>B17+E16</f>
        <v>561</v>
      </c>
      <c r="F17" s="19">
        <f>C17+F16</f>
        <v>-240</v>
      </c>
      <c r="G17" s="19">
        <f>D17+G16</f>
        <v>321</v>
      </c>
      <c r="H17" s="38"/>
    </row>
    <row r="18" ht="20.05" customHeight="1">
      <c r="A18" s="36">
        <f>1+$A17</f>
        <v>2020</v>
      </c>
      <c r="B18" s="18">
        <f>SUM('Cashflow'!F24:F27)</f>
        <v>-1723</v>
      </c>
      <c r="C18" s="19">
        <f>SUM('Cashflow'!G24:G27)</f>
        <v>0</v>
      </c>
      <c r="D18" s="19">
        <f>B18+C18</f>
        <v>-1723</v>
      </c>
      <c r="E18" s="19">
        <f>B18+E17</f>
        <v>-1162</v>
      </c>
      <c r="F18" s="19">
        <f>C18+F17</f>
        <v>-240</v>
      </c>
      <c r="G18" s="19">
        <f>D18+G17</f>
        <v>-1402</v>
      </c>
      <c r="H18" s="38"/>
    </row>
    <row r="19" ht="20.05" customHeight="1">
      <c r="A19" s="36">
        <f>1+$A18</f>
        <v>2021</v>
      </c>
      <c r="B19" s="18">
        <f>SUM('Cashflow'!F28:F31)</f>
        <v>-85.3</v>
      </c>
      <c r="C19" s="19">
        <f>SUM('Cashflow'!G28:G31)</f>
        <v>-34.7</v>
      </c>
      <c r="D19" s="19">
        <f>B19+C19</f>
        <v>-120</v>
      </c>
      <c r="E19" s="19">
        <f>B19+E18</f>
        <v>-1247.3</v>
      </c>
      <c r="F19" s="19">
        <f>C19+F18</f>
        <v>-274.7</v>
      </c>
      <c r="G19" s="19">
        <f>D19+G18</f>
        <v>-1522</v>
      </c>
      <c r="H19" s="38"/>
    </row>
    <row r="21" ht="27.65" customHeight="1">
      <c r="I21" t="s" s="2">
        <v>64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ht="20.25" customHeight="1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ht="20.25" customHeight="1">
      <c r="I23" s="67"/>
      <c r="J23" t="s" s="68">
        <v>65</v>
      </c>
      <c r="K23" s="69">
        <v>41716224622592</v>
      </c>
      <c r="L23" s="30"/>
      <c r="M23" s="30"/>
      <c r="N23" s="30"/>
      <c r="O23" s="30"/>
      <c r="P23" s="30"/>
      <c r="Q23" s="30"/>
      <c r="R23" s="30"/>
      <c r="S23" s="30"/>
      <c r="T23" s="30"/>
    </row>
    <row r="24" ht="44.05" customHeight="1">
      <c r="I24" s="34"/>
      <c r="J24" t="s" s="70">
        <v>66</v>
      </c>
      <c r="K24" t="s" s="71">
        <v>67</v>
      </c>
      <c r="L24" s="26">
        <f>R43</f>
        <v>-0.282016572043659</v>
      </c>
      <c r="M24" t="s" s="71">
        <f>S43</f>
        <v>68</v>
      </c>
      <c r="N24" t="s" s="71">
        <f>T43</f>
        <v>69</v>
      </c>
      <c r="O24" s="24"/>
      <c r="P24" s="24"/>
      <c r="Q24" s="24"/>
      <c r="R24" s="24"/>
      <c r="S24" s="24"/>
      <c r="T24" s="24"/>
    </row>
    <row r="25" ht="20.05" customHeight="1">
      <c r="I25" s="34"/>
      <c r="J25" s="72">
        <v>44665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ht="20.05" customHeight="1">
      <c r="I26" s="34"/>
      <c r="J26" t="s" s="70">
        <v>70</v>
      </c>
      <c r="K26" s="23">
        <f>$A7</f>
        <v>2009</v>
      </c>
      <c r="L26" s="24"/>
      <c r="M26" s="24"/>
      <c r="N26" s="24"/>
      <c r="O26" s="24"/>
      <c r="P26" s="24"/>
      <c r="Q26" s="24"/>
      <c r="R26" s="24"/>
      <c r="S26" s="24"/>
      <c r="T26" s="24"/>
    </row>
    <row r="27" ht="32.05" customHeight="1">
      <c r="I27" s="34"/>
      <c r="J27" t="s" s="70">
        <v>71</v>
      </c>
      <c r="K27" s="23">
        <f>(2022-K26)*4</f>
        <v>52</v>
      </c>
      <c r="L27" s="24"/>
      <c r="M27" s="24"/>
      <c r="N27" s="24"/>
      <c r="O27" s="24"/>
      <c r="P27" s="24"/>
      <c r="Q27" s="24"/>
      <c r="R27" s="24"/>
      <c r="S27" s="24"/>
      <c r="T27" s="24"/>
    </row>
    <row r="28" ht="32.05" customHeight="1">
      <c r="I28" s="34"/>
      <c r="J28" t="s" s="70">
        <v>72</v>
      </c>
      <c r="K28" s="19">
        <f>(K23/1000000000)/14</f>
        <v>2979.730330185140</v>
      </c>
      <c r="L28" s="24"/>
      <c r="M28" s="24"/>
      <c r="N28" s="24"/>
      <c r="O28" s="24"/>
      <c r="P28" s="24"/>
      <c r="Q28" s="24"/>
      <c r="R28" s="24"/>
      <c r="S28" s="24"/>
      <c r="T28" s="24"/>
    </row>
    <row r="29" ht="32.05" customHeight="1">
      <c r="I29" s="34"/>
      <c r="J29" t="s" s="70">
        <v>12</v>
      </c>
      <c r="K29" s="19">
        <f>P33</f>
        <v>-1247.3</v>
      </c>
      <c r="L29" t="s" s="71">
        <f>P30</f>
        <v>73</v>
      </c>
      <c r="M29" t="s" s="71">
        <f>IF(K29&gt;0,"raised","paid")</f>
        <v>74</v>
      </c>
      <c r="N29" s="24"/>
      <c r="O29" s="24"/>
      <c r="P29" s="24"/>
      <c r="Q29" s="24"/>
      <c r="R29" s="24"/>
      <c r="S29" s="24"/>
      <c r="T29" s="24"/>
    </row>
    <row r="30" ht="32.05" customHeight="1">
      <c r="I30" s="34"/>
      <c r="J30" t="s" s="70">
        <f>J24</f>
        <v>66</v>
      </c>
      <c r="K30" t="s" s="71">
        <v>75</v>
      </c>
      <c r="L30" t="s" s="71">
        <f>IF(O30&gt;0,"raised","paid")</f>
        <v>74</v>
      </c>
      <c r="M30" t="s" s="71">
        <v>76</v>
      </c>
      <c r="N30" t="s" s="71">
        <v>77</v>
      </c>
      <c r="O30" s="19">
        <f>AVERAGE(B8:B19)</f>
        <v>-104.191666666667</v>
      </c>
      <c r="P30" t="s" s="71">
        <v>73</v>
      </c>
      <c r="Q30" t="s" s="71">
        <v>78</v>
      </c>
      <c r="R30" s="26">
        <f>O30/K28</f>
        <v>-0.0349668107919663</v>
      </c>
      <c r="S30" t="s" s="71">
        <v>68</v>
      </c>
      <c r="T30" s="24"/>
    </row>
    <row r="31" ht="32.05" customHeight="1">
      <c r="I31" s="34"/>
      <c r="J31" t="s" s="70">
        <v>79</v>
      </c>
      <c r="K31" t="s" s="71">
        <f>M30</f>
        <v>76</v>
      </c>
      <c r="L31" t="s" s="71">
        <v>80</v>
      </c>
      <c r="M31" t="s" s="71">
        <f>IF(O31&gt;0,"raised","paid")</f>
        <v>74</v>
      </c>
      <c r="N31" t="s" s="71">
        <v>77</v>
      </c>
      <c r="O31" s="19">
        <f>AVERAGE(B15:B19)</f>
        <v>-503.26</v>
      </c>
      <c r="P31" t="s" s="71">
        <f>P30</f>
        <v>73</v>
      </c>
      <c r="Q31" t="s" s="71">
        <v>78</v>
      </c>
      <c r="R31" s="26">
        <f>O31/K28</f>
        <v>-0.168894478437158</v>
      </c>
      <c r="S31" t="s" s="71">
        <v>68</v>
      </c>
      <c r="T31" s="24"/>
    </row>
    <row r="32" ht="44.05" customHeight="1">
      <c r="I32" s="34"/>
      <c r="J32" t="s" s="70">
        <v>81</v>
      </c>
      <c r="K32" t="s" s="71">
        <v>82</v>
      </c>
      <c r="L32" s="19">
        <f>MAX(E8:E19)</f>
        <v>1314</v>
      </c>
      <c r="M32" t="s" s="71">
        <f>P31</f>
        <v>73</v>
      </c>
      <c r="N32" t="s" s="71">
        <v>83</v>
      </c>
      <c r="O32" s="23">
        <f>$A16</f>
        <v>2018</v>
      </c>
      <c r="P32" s="24"/>
      <c r="Q32" s="24"/>
      <c r="R32" s="24"/>
      <c r="S32" s="24"/>
      <c r="T32" s="24"/>
    </row>
    <row r="33" ht="32.05" customHeight="1">
      <c r="I33" s="34"/>
      <c r="J33" t="s" s="70">
        <v>84</v>
      </c>
      <c r="K33" t="s" s="71">
        <f>K31</f>
        <v>76</v>
      </c>
      <c r="L33" t="s" s="71">
        <v>85</v>
      </c>
      <c r="M33" t="s" s="71">
        <v>86</v>
      </c>
      <c r="N33" t="s" s="71">
        <f>IF(P33&lt;L32,"down","up")</f>
        <v>87</v>
      </c>
      <c r="O33" t="s" s="71">
        <v>88</v>
      </c>
      <c r="P33" s="19">
        <f>E19</f>
        <v>-1247.3</v>
      </c>
      <c r="Q33" t="s" s="71">
        <f>P31</f>
        <v>73</v>
      </c>
      <c r="R33" s="24"/>
      <c r="S33" s="24"/>
      <c r="T33" s="24"/>
    </row>
    <row r="34" ht="32.05" customHeight="1">
      <c r="I34" s="34"/>
      <c r="J34" t="s" s="70">
        <v>15</v>
      </c>
      <c r="K34" s="19">
        <f>P38</f>
        <v>-274.7</v>
      </c>
      <c r="L34" t="s" s="71">
        <f>Q33</f>
        <v>73</v>
      </c>
      <c r="M34" t="s" s="71">
        <f>IF(K34&gt;0,"raised","paid")</f>
        <v>74</v>
      </c>
      <c r="N34" s="24"/>
      <c r="O34" s="24"/>
      <c r="P34" s="24"/>
      <c r="Q34" s="24"/>
      <c r="R34" s="24"/>
      <c r="S34" s="24"/>
      <c r="T34" s="24"/>
    </row>
    <row r="35" ht="32.05" customHeight="1">
      <c r="I35" s="34"/>
      <c r="J35" t="s" s="70">
        <f>J30</f>
        <v>66</v>
      </c>
      <c r="K35" t="s" s="71">
        <v>75</v>
      </c>
      <c r="L35" t="s" s="71">
        <f>IF(O35&gt;0,"raised","paid")</f>
        <v>74</v>
      </c>
      <c r="M35" t="s" s="71">
        <v>89</v>
      </c>
      <c r="N35" t="s" s="71">
        <f>N30</f>
        <v>77</v>
      </c>
      <c r="O35" s="19">
        <f>AVERAGE(C8:C19)</f>
        <v>-32.225</v>
      </c>
      <c r="P35" t="s" s="71">
        <f>P30</f>
        <v>73</v>
      </c>
      <c r="Q35" t="s" s="71">
        <f>Q30</f>
        <v>78</v>
      </c>
      <c r="R35" s="26">
        <f>O35/K28</f>
        <v>-0.0108147370497107</v>
      </c>
      <c r="S35" t="s" s="71">
        <f>S30</f>
        <v>68</v>
      </c>
      <c r="T35" s="24"/>
    </row>
    <row r="36" ht="32.05" customHeight="1">
      <c r="I36" s="34"/>
      <c r="J36" t="s" s="70">
        <v>79</v>
      </c>
      <c r="K36" t="s" s="71">
        <f>M35</f>
        <v>89</v>
      </c>
      <c r="L36" t="s" s="71">
        <v>90</v>
      </c>
      <c r="M36" t="s" s="71">
        <f>IF(O36&gt;0,"raised","paid")</f>
        <v>74</v>
      </c>
      <c r="N36" t="s" s="71">
        <v>77</v>
      </c>
      <c r="O36" s="19">
        <f>AVERAGE(C15:C19)</f>
        <v>-16.74</v>
      </c>
      <c r="P36" t="s" s="71">
        <f>P35</f>
        <v>73</v>
      </c>
      <c r="Q36" t="s" s="71">
        <v>78</v>
      </c>
      <c r="R36" s="26">
        <f>O36/K28</f>
        <v>-0.00561795805157975</v>
      </c>
      <c r="S36" t="s" s="71">
        <f>S31</f>
        <v>68</v>
      </c>
      <c r="T36" s="24"/>
    </row>
    <row r="37" ht="44.05" customHeight="1">
      <c r="I37" s="34"/>
      <c r="J37" t="s" s="70">
        <v>91</v>
      </c>
      <c r="K37" t="s" s="71">
        <v>82</v>
      </c>
      <c r="L37" s="19">
        <f>MAX(F8:F19)</f>
        <v>53</v>
      </c>
      <c r="M37" t="s" s="71">
        <f>P36</f>
        <v>73</v>
      </c>
      <c r="N37" t="s" s="71">
        <v>83</v>
      </c>
      <c r="O37" s="23">
        <f>$A9</f>
        <v>2011</v>
      </c>
      <c r="P37" s="24"/>
      <c r="Q37" s="24"/>
      <c r="R37" s="24"/>
      <c r="S37" s="24"/>
      <c r="T37" s="24"/>
    </row>
    <row r="38" ht="32.05" customHeight="1">
      <c r="I38" s="34"/>
      <c r="J38" t="s" s="70">
        <v>84</v>
      </c>
      <c r="K38" t="s" s="71">
        <f>K36</f>
        <v>89</v>
      </c>
      <c r="L38" t="s" s="71">
        <v>85</v>
      </c>
      <c r="M38" t="s" s="71">
        <v>92</v>
      </c>
      <c r="N38" t="s" s="71">
        <f>IF(P38&lt;L37,"down","up")</f>
        <v>87</v>
      </c>
      <c r="O38" t="s" s="71">
        <v>88</v>
      </c>
      <c r="P38" s="19">
        <f>F19</f>
        <v>-274.7</v>
      </c>
      <c r="Q38" t="s" s="71">
        <f>P36</f>
        <v>73</v>
      </c>
      <c r="R38" s="24"/>
      <c r="S38" s="24"/>
      <c r="T38" s="24"/>
    </row>
    <row r="39" ht="32.05" customHeight="1">
      <c r="I39" s="34"/>
      <c r="J39" t="s" s="70">
        <v>93</v>
      </c>
      <c r="K39" s="19">
        <f>P43</f>
        <v>-1522</v>
      </c>
      <c r="L39" t="s" s="71">
        <f>Q38</f>
        <v>73</v>
      </c>
      <c r="M39" t="s" s="71">
        <f>IF(K39&gt;0,"raised","paid")</f>
        <v>74</v>
      </c>
      <c r="N39" s="24"/>
      <c r="O39" s="24"/>
      <c r="P39" s="24"/>
      <c r="Q39" s="24"/>
      <c r="R39" s="24"/>
      <c r="S39" s="24"/>
      <c r="T39" s="24"/>
    </row>
    <row r="40" ht="32.05" customHeight="1">
      <c r="I40" s="34"/>
      <c r="J40" t="s" s="70">
        <f>J35</f>
        <v>66</v>
      </c>
      <c r="K40" t="s" s="71">
        <v>75</v>
      </c>
      <c r="L40" t="s" s="71">
        <f>IF(O40&gt;0,"raised","paid")</f>
        <v>74</v>
      </c>
      <c r="M40" t="s" s="71">
        <v>94</v>
      </c>
      <c r="N40" t="s" s="71">
        <f>N35</f>
        <v>77</v>
      </c>
      <c r="O40" s="19">
        <f>AVERAGE(D8:D19)</f>
        <v>-136.416666666667</v>
      </c>
      <c r="P40" t="s" s="71">
        <f>P35</f>
        <v>73</v>
      </c>
      <c r="Q40" t="s" s="71">
        <f>Q35</f>
        <v>78</v>
      </c>
      <c r="R40" s="26">
        <f>O40/K28</f>
        <v>-0.045781547841677</v>
      </c>
      <c r="S40" t="s" s="71">
        <f>S35</f>
        <v>68</v>
      </c>
      <c r="T40" s="24"/>
    </row>
    <row r="41" ht="32.05" customHeight="1">
      <c r="I41" s="34"/>
      <c r="J41" t="s" s="70">
        <v>79</v>
      </c>
      <c r="K41" t="s" s="71">
        <f>M40</f>
        <v>94</v>
      </c>
      <c r="L41" t="s" s="71">
        <v>90</v>
      </c>
      <c r="M41" t="s" s="71">
        <f>IF(O41&gt;0,"raised","paid")</f>
        <v>74</v>
      </c>
      <c r="N41" t="s" s="71">
        <v>77</v>
      </c>
      <c r="O41" s="19">
        <f>AVERAGE(D15:D19)</f>
        <v>-520</v>
      </c>
      <c r="P41" t="s" s="71">
        <f>P40</f>
        <v>73</v>
      </c>
      <c r="Q41" t="s" s="71">
        <v>78</v>
      </c>
      <c r="R41" s="26">
        <f>O41/K28</f>
        <v>-0.174512436488738</v>
      </c>
      <c r="S41" t="s" s="71">
        <f>S36</f>
        <v>68</v>
      </c>
      <c r="T41" s="24"/>
    </row>
    <row r="42" ht="44.05" customHeight="1">
      <c r="I42" s="34"/>
      <c r="J42" t="s" s="70">
        <v>95</v>
      </c>
      <c r="K42" t="s" s="71">
        <v>82</v>
      </c>
      <c r="L42" s="19">
        <f>MAX(G8:G19)</f>
        <v>1123</v>
      </c>
      <c r="M42" t="s" s="71">
        <f>P41</f>
        <v>73</v>
      </c>
      <c r="N42" t="s" s="71">
        <v>83</v>
      </c>
      <c r="O42" s="23">
        <f>$A16</f>
        <v>2018</v>
      </c>
      <c r="P42" s="24"/>
      <c r="Q42" s="24"/>
      <c r="R42" s="24"/>
      <c r="S42" s="24"/>
      <c r="T42" s="24"/>
    </row>
    <row r="43" ht="44.05" customHeight="1">
      <c r="I43" s="34"/>
      <c r="J43" t="s" s="70">
        <v>84</v>
      </c>
      <c r="K43" t="s" s="71">
        <f>K41</f>
        <v>94</v>
      </c>
      <c r="L43" t="s" s="71">
        <v>85</v>
      </c>
      <c r="M43" t="s" s="71">
        <v>92</v>
      </c>
      <c r="N43" t="s" s="71">
        <f>IF(P43&lt;L42,"down","up")</f>
        <v>87</v>
      </c>
      <c r="O43" t="s" s="71">
        <v>88</v>
      </c>
      <c r="P43" s="23">
        <f>G19</f>
        <v>-1522</v>
      </c>
      <c r="Q43" t="s" s="71">
        <f>P41</f>
        <v>73</v>
      </c>
      <c r="R43" s="26">
        <f>AVERAGE(D17:D19)/K28</f>
        <v>-0.282016572043659</v>
      </c>
      <c r="S43" t="s" s="71">
        <f>S41</f>
        <v>68</v>
      </c>
      <c r="T43" t="s" s="71">
        <v>69</v>
      </c>
    </row>
  </sheetData>
  <mergeCells count="2">
    <mergeCell ref="A1:H1"/>
    <mergeCell ref="I21:T2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