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" sheetId="5" r:id="rId8"/>
    <sheet name="Capital " sheetId="6" r:id="rId9"/>
  </sheets>
</workbook>
</file>

<file path=xl/sharedStrings.xml><?xml version="1.0" encoding="utf-8"?>
<sst xmlns="http://schemas.openxmlformats.org/spreadsheetml/2006/main" uniqueCount="61">
  <si>
    <t>Financial model</t>
  </si>
  <si>
    <t>$m</t>
  </si>
  <si>
    <t>4Q 2022</t>
  </si>
  <si>
    <t>Cashflow</t>
  </si>
  <si>
    <t>Growth</t>
  </si>
  <si>
    <t>Sales</t>
  </si>
  <si>
    <t>Cost ratio</t>
  </si>
  <si>
    <t>Cash costs</t>
  </si>
  <si>
    <t>Operating</t>
  </si>
  <si>
    <t xml:space="preserve">Investment </t>
  </si>
  <si>
    <t xml:space="preserve">Finance </t>
  </si>
  <si>
    <t xml:space="preserve">Liabilities </t>
  </si>
  <si>
    <t>Equity</t>
  </si>
  <si>
    <t xml:space="preserve">Before revolver </t>
  </si>
  <si>
    <t xml:space="preserve">Revolver </t>
  </si>
  <si>
    <t>Beginning</t>
  </si>
  <si>
    <t>Change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</si>
  <si>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</si>
  <si>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</si>
  <si>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</si>
  <si>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</si>
  <si>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</si>
  <si>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</si>
  <si>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</si>
  <si>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</si>
  <si>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</si>
  <si>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</si>
  <si>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 xml:space="preserve">Net cash </t>
  </si>
  <si>
    <t xml:space="preserve">Valuation </t>
  </si>
  <si>
    <t>Rupiah</t>
  </si>
  <si>
    <t xml:space="preserve">Capital </t>
  </si>
  <si>
    <t xml:space="preserve">Current value </t>
  </si>
  <si>
    <t>P/assets</t>
  </si>
  <si>
    <t>Yield</t>
  </si>
  <si>
    <t>Payback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</si>
  <si>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</si>
  <si>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</si>
  <si>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</si>
  <si>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</si>
  <si>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</si>
  <si>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</si>
  <si>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</si>
  <si>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v forecast </t>
  </si>
  <si>
    <t xml:space="preserve">Profit </t>
  </si>
  <si>
    <t xml:space="preserve">Sales growth </t>
  </si>
  <si>
    <t xml:space="preserve">Cost ratio </t>
  </si>
  <si>
    <t>Cashflow costs</t>
  </si>
  <si>
    <t>Receipts</t>
  </si>
  <si>
    <t xml:space="preserve">Operating </t>
  </si>
  <si>
    <t>Finance</t>
  </si>
  <si>
    <t xml:space="preserve">Free cashflow </t>
  </si>
  <si>
    <t>Cash</t>
  </si>
  <si>
    <t>Assets</t>
  </si>
  <si>
    <t>Other assers</t>
  </si>
  <si>
    <t>Net cash</t>
  </si>
  <si>
    <t>Share price</t>
  </si>
  <si>
    <t>GEMS</t>
  </si>
  <si>
    <t>Target</t>
  </si>
  <si>
    <t>Capital</t>
  </si>
  <si>
    <t>Interest</t>
  </si>
  <si>
    <t>Leases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</si>
</sst>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.0"/>
    <numFmt numFmtId="60" formatCode="#,##0%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3" borderId="3" applyNumberFormat="1" applyFont="1" applyFill="0" applyBorder="1" applyAlignment="1" applyProtection="0">
      <alignment horizontal="right" vertical="center" wrapText="1" readingOrder="1"/>
    </xf>
    <xf numFmtId="0" fontId="3" borderId="6" applyNumberFormat="1" applyFont="1" applyFill="0" applyBorder="1" applyAlignment="1" applyProtection="0">
      <alignment horizontal="right" vertical="center" wrapText="1" readingOrder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1" fontId="0" borderId="3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2323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715389</xdr:colOff>
      <xdr:row>1</xdr:row>
      <xdr:rowOff>325269</xdr:rowOff>
    </xdr:from>
    <xdr:to>
      <xdr:col>13</xdr:col>
      <xdr:colOff>1054644</xdr:colOff>
      <xdr:row>47</xdr:row>
      <xdr:rowOff>59719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427089" y="571014"/>
          <a:ext cx="9051456" cy="1154926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7.71094" style="1" customWidth="1"/>
    <col min="2" max="2" width="14.7656" style="1" customWidth="1"/>
    <col min="3" max="6" width="9.875" style="1" customWidth="1"/>
    <col min="7" max="16384" width="16.3516" style="1" customWidth="1"/>
  </cols>
  <sheetData>
    <row r="1" ht="19.35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s="4"/>
      <c r="F3" t="s" s="5">
        <v>2</v>
      </c>
    </row>
    <row r="4" ht="20.25" customHeight="1">
      <c r="B4" t="s" s="6">
        <v>3</v>
      </c>
      <c r="C4" s="7">
        <f>AVERAGE('Sales'!G20:G23)</f>
        <v>0.212104190234703</v>
      </c>
      <c r="D4" s="8"/>
      <c r="E4" s="8"/>
      <c r="F4" s="9">
        <f>AVERAGE(C5:F5)</f>
        <v>0.0625</v>
      </c>
    </row>
    <row r="5" ht="20.05" customHeight="1">
      <c r="B5" t="s" s="10">
        <v>4</v>
      </c>
      <c r="C5" s="11">
        <v>0.12</v>
      </c>
      <c r="D5" s="12">
        <v>0.05</v>
      </c>
      <c r="E5" s="12">
        <v>0.05</v>
      </c>
      <c r="F5" s="12">
        <v>0.03</v>
      </c>
    </row>
    <row r="6" ht="20.05" customHeight="1">
      <c r="B6" t="s" s="10">
        <v>5</v>
      </c>
      <c r="C6" s="13">
        <f>'Sales'!C23*(1+C5)</f>
        <v>591.808</v>
      </c>
      <c r="D6" s="14">
        <f>C6*(1+D5)</f>
        <v>621.3984</v>
      </c>
      <c r="E6" s="14">
        <f>D6*(1+E5)</f>
        <v>652.4683199999999</v>
      </c>
      <c r="F6" s="14">
        <f>E6*(1+F5)</f>
        <v>672.0423696</v>
      </c>
    </row>
    <row r="7" ht="20.05" customHeight="1">
      <c r="B7" t="s" s="10">
        <v>6</v>
      </c>
      <c r="C7" s="11">
        <f>AVERAGE('Sales'!H23:I23)</f>
        <v>-0.739427935596961</v>
      </c>
      <c r="D7" s="12">
        <f>C7</f>
        <v>-0.739427935596961</v>
      </c>
      <c r="E7" s="12">
        <f>D7</f>
        <v>-0.739427935596961</v>
      </c>
      <c r="F7" s="12">
        <f>E7</f>
        <v>-0.739427935596961</v>
      </c>
    </row>
    <row r="8" ht="20.05" customHeight="1">
      <c r="B8" t="s" s="10">
        <v>7</v>
      </c>
      <c r="C8" s="15">
        <f>C7*C6</f>
        <v>-437.599367709766</v>
      </c>
      <c r="D8" s="16">
        <f>D7*D6</f>
        <v>-459.479336095255</v>
      </c>
      <c r="E8" s="16">
        <f>E7*E6</f>
        <v>-482.453302900017</v>
      </c>
      <c r="F8" s="16">
        <f>F7*F6</f>
        <v>-496.926901987018</v>
      </c>
    </row>
    <row r="9" ht="20.05" customHeight="1">
      <c r="B9" t="s" s="10">
        <v>8</v>
      </c>
      <c r="C9" s="17">
        <f>C6+C8</f>
        <v>154.208632290234</v>
      </c>
      <c r="D9" s="18">
        <f>D6+D8</f>
        <v>161.919063904745</v>
      </c>
      <c r="E9" s="18">
        <f>E6+E8</f>
        <v>170.015017099983</v>
      </c>
      <c r="F9" s="18">
        <f>F6+F8</f>
        <v>175.115467612982</v>
      </c>
    </row>
    <row r="10" ht="20.05" customHeight="1">
      <c r="B10" t="s" s="10">
        <v>9</v>
      </c>
      <c r="C10" s="17">
        <f>AVERAGE('Cashflow '!E28:E31)</f>
        <v>-2.5</v>
      </c>
      <c r="D10" s="18">
        <f>C10</f>
        <v>-2.5</v>
      </c>
      <c r="E10" s="18">
        <f>D10</f>
        <v>-2.5</v>
      </c>
      <c r="F10" s="18">
        <f>E10</f>
        <v>-2.5</v>
      </c>
    </row>
    <row r="11" ht="20.05" customHeight="1">
      <c r="B11" t="s" s="10">
        <v>10</v>
      </c>
      <c r="C11" s="17">
        <f>C12+C13+C15</f>
        <v>-71.07258968707021</v>
      </c>
      <c r="D11" s="18">
        <f>D12+D13+D15</f>
        <v>-72.1032191714235</v>
      </c>
      <c r="E11" s="18">
        <f>E12+E13+E15</f>
        <v>-73.31363012999491</v>
      </c>
      <c r="F11" s="18">
        <f>F12+F13+F15</f>
        <v>-73.6863090338946</v>
      </c>
    </row>
    <row r="12" ht="20.05" customHeight="1">
      <c r="B12" t="s" s="10">
        <v>11</v>
      </c>
      <c r="C12" s="17">
        <f>-('Balance sheet'!G28)/20</f>
        <v>-25.65</v>
      </c>
      <c r="D12" s="18">
        <f>-C26/20</f>
        <v>-24.3675</v>
      </c>
      <c r="E12" s="18">
        <f>-D26/20</f>
        <v>-23.149125</v>
      </c>
      <c r="F12" s="18">
        <f>-E26/20</f>
        <v>-21.99166875</v>
      </c>
    </row>
    <row r="13" ht="20.05" customHeight="1">
      <c r="B13" t="s" s="10">
        <v>12</v>
      </c>
      <c r="C13" s="17">
        <f>IF(C21&gt;0,-C21*0.3,0)</f>
        <v>-45.4225896870702</v>
      </c>
      <c r="D13" s="18">
        <f>IF(D21&gt;0,-D21*0.3,0)</f>
        <v>-47.7357191714235</v>
      </c>
      <c r="E13" s="18">
        <f>IF(E21&gt;0,-E21*0.3,0)</f>
        <v>-50.1645051299949</v>
      </c>
      <c r="F13" s="18">
        <f>IF(F21&gt;0,-F21*0.3,0)</f>
        <v>-51.6946402838946</v>
      </c>
    </row>
    <row r="14" ht="20.05" customHeight="1">
      <c r="B14" t="s" s="10">
        <v>13</v>
      </c>
      <c r="C14" s="17">
        <f>C9+C10+C12+C13</f>
        <v>80.6360426031638</v>
      </c>
      <c r="D14" s="18">
        <f>D9+D10+D12+D13</f>
        <v>87.3158447333215</v>
      </c>
      <c r="E14" s="18">
        <f>E9+E10+E12+E13</f>
        <v>94.20138696998811</v>
      </c>
      <c r="F14" s="18">
        <f>F9+F10+F12+F13</f>
        <v>98.9291585790874</v>
      </c>
    </row>
    <row r="15" ht="20.05" customHeight="1">
      <c r="B15" t="s" s="10">
        <v>14</v>
      </c>
      <c r="C15" s="17">
        <f>-MIN(0,C14)</f>
        <v>0</v>
      </c>
      <c r="D15" s="18">
        <f>-MIN(C27,D14)</f>
        <v>0</v>
      </c>
      <c r="E15" s="18">
        <f>-MIN(D27,E14)</f>
        <v>0</v>
      </c>
      <c r="F15" s="18">
        <f>-MIN(E27,F14)</f>
        <v>0</v>
      </c>
    </row>
    <row r="16" ht="20.05" customHeight="1">
      <c r="B16" t="s" s="10">
        <v>15</v>
      </c>
      <c r="C16" s="17">
        <f>'Balance sheet'!C28</f>
        <v>194</v>
      </c>
      <c r="D16" s="18">
        <f>C18</f>
        <v>274.636042603164</v>
      </c>
      <c r="E16" s="18">
        <f>D18</f>
        <v>361.951887336486</v>
      </c>
      <c r="F16" s="18">
        <f>E18</f>
        <v>456.153274306474</v>
      </c>
    </row>
    <row r="17" ht="20.05" customHeight="1">
      <c r="B17" t="s" s="10">
        <v>16</v>
      </c>
      <c r="C17" s="17">
        <f>C9+C10+C11</f>
        <v>80.6360426031638</v>
      </c>
      <c r="D17" s="18">
        <f>D9+D10+D11</f>
        <v>87.3158447333215</v>
      </c>
      <c r="E17" s="18">
        <f>E9+E10+E11</f>
        <v>94.20138696998811</v>
      </c>
      <c r="F17" s="18">
        <f>F9+F10+F11</f>
        <v>98.9291585790874</v>
      </c>
    </row>
    <row r="18" ht="20.05" customHeight="1">
      <c r="B18" t="s" s="10">
        <v>17</v>
      </c>
      <c r="C18" s="17">
        <f>C16+C17</f>
        <v>274.636042603164</v>
      </c>
      <c r="D18" s="18">
        <f>D16+D17</f>
        <v>361.951887336486</v>
      </c>
      <c r="E18" s="18">
        <f>E16+E17</f>
        <v>456.153274306474</v>
      </c>
      <c r="F18" s="18">
        <f>F16+F17</f>
        <v>555.082432885561</v>
      </c>
    </row>
    <row r="19" ht="20.05" customHeight="1">
      <c r="B19" t="s" s="19">
        <v>18</v>
      </c>
      <c r="C19" s="20"/>
      <c r="D19" s="21"/>
      <c r="E19" s="21"/>
      <c r="F19" s="22"/>
    </row>
    <row r="20" ht="20.05" customHeight="1">
      <c r="B20" t="s" s="10">
        <v>19</v>
      </c>
      <c r="C20" s="17">
        <f>-AVERAGE('Sales'!E23)</f>
        <v>-2.8</v>
      </c>
      <c r="D20" s="18">
        <f>C20</f>
        <v>-2.8</v>
      </c>
      <c r="E20" s="18">
        <f>D20</f>
        <v>-2.8</v>
      </c>
      <c r="F20" s="18">
        <f>E20</f>
        <v>-2.8</v>
      </c>
    </row>
    <row r="21" ht="20.05" customHeight="1">
      <c r="B21" t="s" s="10">
        <v>20</v>
      </c>
      <c r="C21" s="17">
        <f>C6+C8+C20</f>
        <v>151.408632290234</v>
      </c>
      <c r="D21" s="18">
        <f>D6+D8+D20</f>
        <v>159.119063904745</v>
      </c>
      <c r="E21" s="18">
        <f>E6+E8+E20</f>
        <v>167.215017099983</v>
      </c>
      <c r="F21" s="18">
        <f>F6+F8+F20</f>
        <v>172.315467612982</v>
      </c>
    </row>
    <row r="22" ht="20.05" customHeight="1">
      <c r="B22" t="s" s="19">
        <v>21</v>
      </c>
      <c r="C22" s="15"/>
      <c r="D22" s="16"/>
      <c r="E22" s="16"/>
      <c r="F22" s="18"/>
    </row>
    <row r="23" ht="20.05" customHeight="1">
      <c r="B23" t="s" s="10">
        <v>22</v>
      </c>
      <c r="C23" s="17">
        <f>'Balance sheet'!E28+'Balance sheet'!F28-C10</f>
        <v>811.5</v>
      </c>
      <c r="D23" s="18">
        <f>C23-D10</f>
        <v>814</v>
      </c>
      <c r="E23" s="18">
        <f>D23-E10</f>
        <v>816.5</v>
      </c>
      <c r="F23" s="18">
        <f>E23-F10</f>
        <v>819</v>
      </c>
    </row>
    <row r="24" ht="20.05" customHeight="1">
      <c r="B24" t="s" s="10">
        <v>23</v>
      </c>
      <c r="C24" s="17">
        <f>'Balance sheet'!F28-C20</f>
        <v>176.8</v>
      </c>
      <c r="D24" s="18">
        <f>C24-D20</f>
        <v>179.6</v>
      </c>
      <c r="E24" s="18">
        <f>D24-E20</f>
        <v>182.4</v>
      </c>
      <c r="F24" s="18">
        <f>E24-F20</f>
        <v>185.2</v>
      </c>
    </row>
    <row r="25" ht="20.05" customHeight="1">
      <c r="B25" t="s" s="10">
        <v>24</v>
      </c>
      <c r="C25" s="17">
        <f>C23-C24</f>
        <v>634.7</v>
      </c>
      <c r="D25" s="18">
        <f>D23-D24</f>
        <v>634.4</v>
      </c>
      <c r="E25" s="18">
        <f>E23-E24</f>
        <v>634.1</v>
      </c>
      <c r="F25" s="18">
        <f>F23-F24</f>
        <v>633.8</v>
      </c>
    </row>
    <row r="26" ht="20.05" customHeight="1">
      <c r="B26" t="s" s="10">
        <v>11</v>
      </c>
      <c r="C26" s="17">
        <f>'Balance sheet'!G28+C12</f>
        <v>487.35</v>
      </c>
      <c r="D26" s="18">
        <f>C26+D12</f>
        <v>462.9825</v>
      </c>
      <c r="E26" s="18">
        <f>D26+E12</f>
        <v>439.833375</v>
      </c>
      <c r="F26" s="18">
        <f>E26+F12</f>
        <v>417.84170625</v>
      </c>
    </row>
    <row r="27" ht="20.05" customHeight="1">
      <c r="B27" t="s" s="10">
        <v>14</v>
      </c>
      <c r="C27" s="17">
        <f>C15</f>
        <v>0</v>
      </c>
      <c r="D27" s="18">
        <f>C27+D15</f>
        <v>0</v>
      </c>
      <c r="E27" s="18">
        <f>D27+E15</f>
        <v>0</v>
      </c>
      <c r="F27" s="18">
        <f>E27+F15</f>
        <v>0</v>
      </c>
    </row>
    <row r="28" ht="20.05" customHeight="1">
      <c r="B28" t="s" s="10">
        <v>25</v>
      </c>
      <c r="C28" s="17">
        <f>'Balance sheet'!H28+C21+C13</f>
        <v>421.986042603164</v>
      </c>
      <c r="D28" s="18">
        <f>C28+D21+D13</f>
        <v>533.3693873364861</v>
      </c>
      <c r="E28" s="18">
        <f>D28+E21+E13</f>
        <v>650.419899306474</v>
      </c>
      <c r="F28" s="18">
        <f>E28+F21+F13</f>
        <v>771.040726635561</v>
      </c>
    </row>
    <row r="29" ht="20.05" customHeight="1">
      <c r="B29" t="s" s="10">
        <v>26</v>
      </c>
      <c r="C29" s="17">
        <f>C26+C27+C28-C18-C25</f>
        <v>0</v>
      </c>
      <c r="D29" s="18">
        <f>D26+D27+D28-D18-D25</f>
        <v>0</v>
      </c>
      <c r="E29" s="18">
        <f>E26+E27+E28-E18-E25</f>
        <v>0</v>
      </c>
      <c r="F29" s="18">
        <f>F26+F27+F28-F18-F25</f>
        <v>0</v>
      </c>
    </row>
    <row r="30" ht="20.05" customHeight="1">
      <c r="B30" t="s" s="10">
        <v>27</v>
      </c>
      <c r="C30" s="17">
        <f>C18-C26-C27</f>
        <v>-212.713957396836</v>
      </c>
      <c r="D30" s="18">
        <f>D18-D26-D27</f>
        <v>-101.030612663514</v>
      </c>
      <c r="E30" s="18">
        <f>E18-E26-E27</f>
        <v>16.319899306474</v>
      </c>
      <c r="F30" s="18">
        <f>F18-F26-F27</f>
        <v>137.240726635561</v>
      </c>
    </row>
    <row r="31" ht="20.05" customHeight="1">
      <c r="B31" t="s" s="19">
        <v>28</v>
      </c>
      <c r="C31" s="17"/>
      <c r="D31" s="18"/>
      <c r="E31" s="18"/>
      <c r="F31" s="18"/>
    </row>
    <row r="32" ht="20.05" customHeight="1">
      <c r="B32" t="s" s="10">
        <v>29</v>
      </c>
      <c r="C32" s="17"/>
      <c r="D32" s="18"/>
      <c r="E32" s="18"/>
      <c r="F32" s="18">
        <v>14</v>
      </c>
    </row>
    <row r="33" ht="20.05" customHeight="1">
      <c r="B33" t="s" s="10">
        <v>30</v>
      </c>
      <c r="C33" s="17">
        <f>'Cashflow '!L31-(C11)</f>
        <v>617.6725896870699</v>
      </c>
      <c r="D33" s="18">
        <f>C33-(D11)</f>
        <v>689.775808858494</v>
      </c>
      <c r="E33" s="18">
        <f>D33-(E11)</f>
        <v>763.089438988489</v>
      </c>
      <c r="F33" s="18">
        <f>E33-(F11)</f>
        <v>836.7757480223841</v>
      </c>
    </row>
    <row r="34" ht="20.05" customHeight="1">
      <c r="B34" t="s" s="10">
        <v>31</v>
      </c>
      <c r="C34" s="17"/>
      <c r="D34" s="18"/>
      <c r="E34" s="18"/>
      <c r="F34" s="18">
        <v>27470574873600</v>
      </c>
    </row>
    <row r="35" ht="20.05" customHeight="1">
      <c r="B35" t="s" s="10">
        <v>31</v>
      </c>
      <c r="C35" s="17"/>
      <c r="D35" s="18"/>
      <c r="E35" s="18"/>
      <c r="F35" s="18">
        <f>(F34/1000000000)/F32</f>
        <v>1962.183919542860</v>
      </c>
    </row>
    <row r="36" ht="20.05" customHeight="1">
      <c r="B36" t="s" s="10">
        <v>32</v>
      </c>
      <c r="C36" s="17"/>
      <c r="D36" s="18"/>
      <c r="E36" s="18"/>
      <c r="F36" s="23">
        <f>F35/(F18+F25)</f>
        <v>1.65044403489116</v>
      </c>
    </row>
    <row r="37" ht="20.05" customHeight="1">
      <c r="B37" t="s" s="10">
        <v>33</v>
      </c>
      <c r="C37" s="17"/>
      <c r="D37" s="18"/>
      <c r="E37" s="18"/>
      <c r="F37" s="24">
        <f>-(C13+D13+E13+F12)/F35</f>
        <v>0.08425024845632351</v>
      </c>
    </row>
    <row r="38" ht="20.05" customHeight="1">
      <c r="B38" t="s" s="10">
        <v>3</v>
      </c>
      <c r="C38" s="17"/>
      <c r="D38" s="18"/>
      <c r="E38" s="18"/>
      <c r="F38" s="18">
        <f>SUM(C9:F10)</f>
        <v>651.2581809079441</v>
      </c>
    </row>
    <row r="39" ht="20.05" customHeight="1">
      <c r="B39" t="s" s="10">
        <v>34</v>
      </c>
      <c r="C39" s="17"/>
      <c r="D39" s="18"/>
      <c r="E39" s="18"/>
      <c r="F39" s="18">
        <f>'Balance sheet'!E28/F38</f>
        <v>0.97503573638756</v>
      </c>
    </row>
    <row r="40" ht="20.05" customHeight="1">
      <c r="B40" t="s" s="10">
        <v>28</v>
      </c>
      <c r="C40" s="17"/>
      <c r="D40" s="18"/>
      <c r="E40" s="18"/>
      <c r="F40" s="18">
        <f>F35/F38</f>
        <v>3.01291250853433</v>
      </c>
    </row>
    <row r="41" ht="20.05" customHeight="1">
      <c r="B41" t="s" s="10">
        <v>35</v>
      </c>
      <c r="C41" s="17"/>
      <c r="D41" s="18"/>
      <c r="E41" s="18"/>
      <c r="F41" s="18">
        <v>7</v>
      </c>
    </row>
    <row r="42" ht="20.05" customHeight="1">
      <c r="B42" t="s" s="10">
        <v>36</v>
      </c>
      <c r="C42" s="17"/>
      <c r="D42" s="18"/>
      <c r="E42" s="18"/>
      <c r="F42" s="18">
        <f>F38*F41</f>
        <v>4558.807266355610</v>
      </c>
    </row>
    <row r="43" ht="20.05" customHeight="1">
      <c r="B43" t="s" s="10">
        <v>37</v>
      </c>
      <c r="C43" s="17"/>
      <c r="D43" s="18"/>
      <c r="E43" s="18"/>
      <c r="F43" s="18">
        <f>34260/F45</f>
        <v>7.33618843683084</v>
      </c>
    </row>
    <row r="44" ht="20.05" customHeight="1">
      <c r="B44" t="s" s="10">
        <v>38</v>
      </c>
      <c r="C44" s="17"/>
      <c r="D44" s="18"/>
      <c r="E44" s="18"/>
      <c r="F44" s="18">
        <f>(F42/F43)*F32</f>
        <v>8699.790399133961</v>
      </c>
    </row>
    <row r="45" ht="20.05" customHeight="1">
      <c r="B45" t="s" s="10">
        <v>39</v>
      </c>
      <c r="C45" s="17"/>
      <c r="D45" s="18"/>
      <c r="E45" s="18"/>
      <c r="F45" s="18">
        <v>4670</v>
      </c>
    </row>
    <row r="46" ht="20.05" customHeight="1">
      <c r="B46" t="s" s="10">
        <v>40</v>
      </c>
      <c r="C46" s="17"/>
      <c r="D46" s="18"/>
      <c r="E46" s="18"/>
      <c r="F46" s="24">
        <f>F44/F45-1</f>
        <v>0.862910149707486</v>
      </c>
    </row>
    <row r="47" ht="20.05" customHeight="1">
      <c r="B47" t="s" s="10">
        <v>41</v>
      </c>
      <c r="C47" s="17"/>
      <c r="D47" s="18"/>
      <c r="E47" s="18"/>
      <c r="F47" s="24">
        <f>'Sales'!C23/'Sales'!C19-1</f>
        <v>0.904144144144144</v>
      </c>
    </row>
    <row r="48" ht="20.05" customHeight="1">
      <c r="B48" t="s" s="10">
        <v>42</v>
      </c>
      <c r="C48" s="17"/>
      <c r="D48" s="18"/>
      <c r="E48" s="18"/>
      <c r="F48" s="24">
        <f>'Sales'!D23/'Sales'!C23-1</f>
        <v>-0.32551097653293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64844" style="25" customWidth="1"/>
    <col min="2" max="2" width="10.3984" style="25" customWidth="1"/>
    <col min="3" max="11" width="9.55469" style="25" customWidth="1"/>
    <col min="12" max="16384" width="16.3516" style="25" customWidth="1"/>
  </cols>
  <sheetData>
    <row r="1" ht="13.4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</v>
      </c>
      <c r="D3" t="s" s="5">
        <v>35</v>
      </c>
      <c r="E3" t="s" s="5">
        <v>23</v>
      </c>
      <c r="F3" t="s" s="5">
        <v>43</v>
      </c>
      <c r="G3" t="s" s="5">
        <v>44</v>
      </c>
      <c r="H3" t="s" s="5">
        <v>45</v>
      </c>
      <c r="I3" t="s" s="5">
        <v>45</v>
      </c>
      <c r="J3" t="s" s="5">
        <v>35</v>
      </c>
      <c r="K3" t="s" s="5">
        <v>46</v>
      </c>
    </row>
    <row r="4" ht="20.25" customHeight="1">
      <c r="B4" s="26">
        <v>2017</v>
      </c>
      <c r="C4" s="27">
        <v>142</v>
      </c>
      <c r="D4" s="28"/>
      <c r="E4" s="28">
        <v>5.7</v>
      </c>
      <c r="F4" s="28">
        <v>30.9</v>
      </c>
      <c r="G4" s="9"/>
      <c r="H4" s="9"/>
      <c r="I4" s="9"/>
      <c r="J4" s="9"/>
      <c r="K4" s="9"/>
    </row>
    <row r="5" ht="20.05" customHeight="1">
      <c r="B5" s="29"/>
      <c r="C5" s="17">
        <v>137.9</v>
      </c>
      <c r="D5" s="18"/>
      <c r="E5" s="18">
        <v>3.2</v>
      </c>
      <c r="F5" s="18">
        <v>21.3</v>
      </c>
      <c r="G5" s="12"/>
      <c r="H5" s="12">
        <f>(E5+F5-C5)/C5</f>
        <v>-0.822335025380711</v>
      </c>
      <c r="I5" s="12"/>
      <c r="J5" s="12"/>
      <c r="K5" s="12">
        <f>('Cashflow '!D13-'Cashflow '!C13)/'Cashflow '!C13</f>
        <v>-1.00596569724087</v>
      </c>
    </row>
    <row r="6" ht="20.05" customHeight="1">
      <c r="B6" s="29"/>
      <c r="C6" s="15">
        <v>178.4</v>
      </c>
      <c r="D6" s="16"/>
      <c r="E6" s="16">
        <v>5.2</v>
      </c>
      <c r="F6" s="16">
        <v>25.7</v>
      </c>
      <c r="G6" s="12">
        <f>C6/C5-1</f>
        <v>0.293691080493111</v>
      </c>
      <c r="H6" s="12">
        <f>(E6+F6-C6)/C6</f>
        <v>-0.826793721973094</v>
      </c>
      <c r="I6" s="12"/>
      <c r="J6" s="12"/>
      <c r="K6" s="12">
        <f>('Cashflow '!D14-'Cashflow '!C14)/'Cashflow '!C14</f>
        <v>-0.715699208443272</v>
      </c>
    </row>
    <row r="7" ht="20.05" customHeight="1">
      <c r="B7" s="29"/>
      <c r="C7" s="15">
        <v>301.1</v>
      </c>
      <c r="D7" s="16"/>
      <c r="E7" s="16">
        <v>-0.9</v>
      </c>
      <c r="F7" s="16">
        <v>42.2</v>
      </c>
      <c r="G7" s="12">
        <f>C7/C6-1</f>
        <v>0.687780269058296</v>
      </c>
      <c r="H7" s="12">
        <f>(E7+F7-C7)/C7</f>
        <v>-0.862836267020923</v>
      </c>
      <c r="I7" s="12"/>
      <c r="J7" s="12"/>
      <c r="K7" s="12">
        <f>('Cashflow '!D15-'Cashflow '!C15)/'Cashflow '!C15</f>
        <v>-0.690197390431582</v>
      </c>
    </row>
    <row r="8" ht="20.05" customHeight="1">
      <c r="B8" s="30">
        <v>2018</v>
      </c>
      <c r="C8" s="17">
        <v>272.6</v>
      </c>
      <c r="D8" s="18"/>
      <c r="E8" s="18">
        <v>4</v>
      </c>
      <c r="F8" s="18">
        <v>49</v>
      </c>
      <c r="G8" s="12">
        <f>C8/C7-1</f>
        <v>-0.09465293922284961</v>
      </c>
      <c r="H8" s="12">
        <f>(E8+F8-C8)/C8</f>
        <v>-0.805575935436537</v>
      </c>
      <c r="I8" s="12">
        <f>AVERAGE(H5:H8)</f>
        <v>-0.829385237452816</v>
      </c>
      <c r="J8" s="12"/>
      <c r="K8" s="12">
        <f>('Cashflow '!D16-'Cashflow '!C16)/'Cashflow '!C16</f>
        <v>-0.743668720054757</v>
      </c>
    </row>
    <row r="9" ht="20.05" customHeight="1">
      <c r="B9" s="29"/>
      <c r="C9" s="17">
        <v>208.1</v>
      </c>
      <c r="D9" s="18"/>
      <c r="E9" s="18">
        <v>2</v>
      </c>
      <c r="F9" s="18">
        <v>20.1</v>
      </c>
      <c r="G9" s="12">
        <f>C9/C8-1</f>
        <v>-0.236610418195158</v>
      </c>
      <c r="H9" s="12">
        <f>(E9+F9-C9)/C9</f>
        <v>-0.893801057184046</v>
      </c>
      <c r="I9" s="12">
        <f>AVERAGE(H6:H9)</f>
        <v>-0.84725174540365</v>
      </c>
      <c r="J9" s="12"/>
      <c r="K9" s="12">
        <f>('Cashflow '!D17-'Cashflow '!C17)/'Cashflow '!C17</f>
        <v>-1.38374938815467</v>
      </c>
    </row>
    <row r="10" ht="20.05" customHeight="1">
      <c r="B10" s="29"/>
      <c r="C10" s="15">
        <v>286.4</v>
      </c>
      <c r="D10" s="16"/>
      <c r="E10" s="16">
        <v>2.4</v>
      </c>
      <c r="F10" s="16">
        <v>29.1</v>
      </c>
      <c r="G10" s="12">
        <f>C10/C9-1</f>
        <v>0.376261412782316</v>
      </c>
      <c r="H10" s="12">
        <f>(E10+F10-C10)/C10</f>
        <v>-0.8900139664804469</v>
      </c>
      <c r="I10" s="12">
        <f>AVERAGE(H7:H10)</f>
        <v>-0.863056806530488</v>
      </c>
      <c r="J10" s="12"/>
      <c r="K10" s="12">
        <f>('Cashflow '!D18-'Cashflow '!C18)/'Cashflow '!C18</f>
        <v>-0.754578754578755</v>
      </c>
    </row>
    <row r="11" ht="20.05" customHeight="1">
      <c r="B11" s="29"/>
      <c r="C11" s="15">
        <v>278</v>
      </c>
      <c r="D11" s="16"/>
      <c r="E11" s="16">
        <v>1.2</v>
      </c>
      <c r="F11" s="16">
        <v>2.3</v>
      </c>
      <c r="G11" s="12">
        <f>C11/C10-1</f>
        <v>-0.0293296089385475</v>
      </c>
      <c r="H11" s="12">
        <f>(E11+F11-C11)/C11</f>
        <v>-0.987410071942446</v>
      </c>
      <c r="I11" s="12">
        <f>AVERAGE(H8:H11)</f>
        <v>-0.894200257760869</v>
      </c>
      <c r="J11" s="12"/>
      <c r="K11" s="12">
        <f>('Cashflow '!D19-'Cashflow '!C19)/'Cashflow '!C19</f>
        <v>-0.922188243289161</v>
      </c>
    </row>
    <row r="12" ht="20.05" customHeight="1">
      <c r="B12" s="30">
        <v>2019</v>
      </c>
      <c r="C12" s="17">
        <v>269.1</v>
      </c>
      <c r="D12" s="18"/>
      <c r="E12" s="18">
        <v>2.4</v>
      </c>
      <c r="F12" s="18">
        <v>21.8</v>
      </c>
      <c r="G12" s="12">
        <f>C12/C11-1</f>
        <v>-0.0320143884892086</v>
      </c>
      <c r="H12" s="12">
        <f>(E12+F12-C12)/C12</f>
        <v>-0.91007060572278</v>
      </c>
      <c r="I12" s="12">
        <f>AVERAGE(H9:H12)</f>
        <v>-0.92032392533243</v>
      </c>
      <c r="J12" s="12"/>
      <c r="K12" s="12">
        <f>('Cashflow '!D20-'Cashflow '!C20)/'Cashflow '!C20</f>
        <v>-0.998436278342455</v>
      </c>
    </row>
    <row r="13" ht="20.05" customHeight="1">
      <c r="B13" s="29"/>
      <c r="C13" s="17">
        <v>192.5</v>
      </c>
      <c r="D13" s="18"/>
      <c r="E13" s="18">
        <v>2.8</v>
      </c>
      <c r="F13" s="18">
        <v>14.5</v>
      </c>
      <c r="G13" s="12">
        <f>C13/C12-1</f>
        <v>-0.284652545522111</v>
      </c>
      <c r="H13" s="12">
        <f>(E13+F13-C13)/C13</f>
        <v>-0.91012987012987</v>
      </c>
      <c r="I13" s="12">
        <f>AVERAGE(H10:H13)</f>
        <v>-0.924406128568886</v>
      </c>
      <c r="J13" s="12"/>
      <c r="K13" s="12">
        <f>('Cashflow '!D21-'Cashflow '!C21)/'Cashflow '!C21</f>
        <v>-0.94078431372549</v>
      </c>
    </row>
    <row r="14" ht="20.05" customHeight="1">
      <c r="B14" s="29"/>
      <c r="C14" s="15">
        <v>290.6</v>
      </c>
      <c r="D14" s="16"/>
      <c r="E14" s="16">
        <v>4.5</v>
      </c>
      <c r="F14" s="16">
        <v>10.2</v>
      </c>
      <c r="G14" s="12">
        <f>C14/C13-1</f>
        <v>0.50961038961039</v>
      </c>
      <c r="H14" s="12">
        <f>(E14+F14-C14)/C14</f>
        <v>-0.949415003441156</v>
      </c>
      <c r="I14" s="12">
        <f>AVERAGE(H11:H14)</f>
        <v>-0.939256387809063</v>
      </c>
      <c r="J14" s="12"/>
      <c r="K14" s="12">
        <f>('Cashflow '!D22-'Cashflow '!C22)/'Cashflow '!C22</f>
        <v>-0.673769856644711</v>
      </c>
    </row>
    <row r="15" ht="20.05" customHeight="1">
      <c r="B15" s="29"/>
      <c r="C15" s="15">
        <v>355.3</v>
      </c>
      <c r="D15" s="16"/>
      <c r="E15" s="16">
        <v>3.3</v>
      </c>
      <c r="F15" s="16">
        <v>20.3</v>
      </c>
      <c r="G15" s="12">
        <f>C15/C14-1</f>
        <v>0.222642807983482</v>
      </c>
      <c r="H15" s="12">
        <f>(E15+F15-C15)/C15</f>
        <v>-0.933577258654658</v>
      </c>
      <c r="I15" s="12">
        <f>AVERAGE(H12:H15)</f>
        <v>-0.925798184487116</v>
      </c>
      <c r="J15" s="12"/>
      <c r="K15" s="12">
        <f>('Cashflow '!D23-'Cashflow '!C23)/'Cashflow '!C23</f>
        <v>-0.982758620689655</v>
      </c>
    </row>
    <row r="16" ht="20.05" customHeight="1">
      <c r="B16" s="30">
        <v>2020</v>
      </c>
      <c r="C16" s="17">
        <v>316.7</v>
      </c>
      <c r="D16" s="18"/>
      <c r="E16" s="18">
        <v>3.8</v>
      </c>
      <c r="F16" s="18">
        <v>33.8</v>
      </c>
      <c r="G16" s="12">
        <f>C16/C15-1</f>
        <v>-0.108640585420771</v>
      </c>
      <c r="H16" s="12">
        <f>(E16+F16-C16)/C16</f>
        <v>-0.88127565519419</v>
      </c>
      <c r="I16" s="12">
        <f>AVERAGE(H13:H16)</f>
        <v>-0.918599446854969</v>
      </c>
      <c r="J16" s="12"/>
      <c r="K16" s="12">
        <f>('Cashflow '!D24-'Cashflow '!C24)/'Cashflow '!C24</f>
        <v>-0.931744630773757</v>
      </c>
    </row>
    <row r="17" ht="20.05" customHeight="1">
      <c r="B17" s="29"/>
      <c r="C17" s="17">
        <v>255.4</v>
      </c>
      <c r="D17" s="18"/>
      <c r="E17" s="18">
        <v>4</v>
      </c>
      <c r="F17" s="18">
        <v>20.8</v>
      </c>
      <c r="G17" s="12">
        <f>C17/C16-1</f>
        <v>-0.193558572781812</v>
      </c>
      <c r="H17" s="12">
        <f>(E17+F17-C17)/C17</f>
        <v>-0.9028974158183239</v>
      </c>
      <c r="I17" s="12">
        <f>AVERAGE(H14:H17)</f>
        <v>-0.916791333277082</v>
      </c>
      <c r="J17" s="12"/>
      <c r="K17" s="12">
        <f>('Cashflow '!D25-'Cashflow '!C25)/'Cashflow '!C25</f>
        <v>-0.960153256704981</v>
      </c>
    </row>
    <row r="18" ht="20.05" customHeight="1">
      <c r="B18" s="29"/>
      <c r="C18" s="15">
        <v>211.8</v>
      </c>
      <c r="D18" s="16"/>
      <c r="E18" s="16">
        <v>3.5</v>
      </c>
      <c r="F18" s="16">
        <v>10.7</v>
      </c>
      <c r="G18" s="12">
        <f>C18/C17-1</f>
        <v>-0.170712607674236</v>
      </c>
      <c r="H18" s="12">
        <f>(E18+F18-C18)/C18</f>
        <v>-0.932955618508026</v>
      </c>
      <c r="I18" s="12">
        <f>AVERAGE(H15:H18)</f>
        <v>-0.9126764870438</v>
      </c>
      <c r="J18" s="12"/>
      <c r="K18" s="12">
        <f>('Cashflow '!D26-'Cashflow '!C26)/'Cashflow '!C26</f>
        <v>-0.789297658862876</v>
      </c>
    </row>
    <row r="19" ht="20.05" customHeight="1">
      <c r="B19" s="29"/>
      <c r="C19" s="15">
        <v>277.5</v>
      </c>
      <c r="D19" s="16"/>
      <c r="E19" s="16">
        <v>6</v>
      </c>
      <c r="F19" s="16">
        <v>30.6</v>
      </c>
      <c r="G19" s="12">
        <f>C19/C18-1</f>
        <v>0.310198300283286</v>
      </c>
      <c r="H19" s="12">
        <f>(E19+F19-C19)/C19</f>
        <v>-0.868108108108108</v>
      </c>
      <c r="I19" s="12">
        <f>AVERAGE(H16:H19)</f>
        <v>-0.896309199407162</v>
      </c>
      <c r="J19" s="12"/>
      <c r="K19" s="12">
        <f>('Cashflow '!D27-'Cashflow '!C27)/'Cashflow '!C27</f>
        <v>-0.7440091289463669</v>
      </c>
    </row>
    <row r="20" ht="20.05" customHeight="1">
      <c r="B20" s="30">
        <v>2021</v>
      </c>
      <c r="C20" s="17">
        <v>381.2</v>
      </c>
      <c r="D20" s="18"/>
      <c r="E20" s="18">
        <v>3.9</v>
      </c>
      <c r="F20" s="18">
        <v>100.5</v>
      </c>
      <c r="G20" s="12">
        <f>C20/C19-1</f>
        <v>0.373693693693694</v>
      </c>
      <c r="H20" s="12">
        <f>(E20+F20-C20)/C20</f>
        <v>-0.726128016789087</v>
      </c>
      <c r="I20" s="12">
        <f>AVERAGE(H17:H20)</f>
        <v>-0.857522289805886</v>
      </c>
      <c r="J20" s="12"/>
      <c r="K20" s="12">
        <f>('Cashflow '!D28-'Cashflow '!C28)/'Cashflow '!C28</f>
        <v>-0.728119180633147</v>
      </c>
    </row>
    <row r="21" ht="20.05" customHeight="1">
      <c r="B21" s="29"/>
      <c r="C21" s="17">
        <v>352.4</v>
      </c>
      <c r="D21" s="18"/>
      <c r="E21" s="18">
        <v>3.7</v>
      </c>
      <c r="F21" s="18">
        <v>45.5</v>
      </c>
      <c r="G21" s="12">
        <f>C21/C20-1</f>
        <v>-0.0755508919202518</v>
      </c>
      <c r="H21" s="12">
        <f>(E21+F21-C21)/C21</f>
        <v>-0.860385925085131</v>
      </c>
      <c r="I21" s="12">
        <f>AVERAGE(H18:H21)</f>
        <v>-0.846894417122588</v>
      </c>
      <c r="J21" s="12"/>
      <c r="K21" s="12">
        <f>('Cashflow '!D29-'Cashflow '!C29)/'Cashflow '!C29</f>
        <v>-0.837431298814001</v>
      </c>
    </row>
    <row r="22" ht="20.05" customHeight="1">
      <c r="B22" s="29"/>
      <c r="C22" s="15">
        <v>324</v>
      </c>
      <c r="D22" s="16"/>
      <c r="E22" s="16">
        <v>6.5</v>
      </c>
      <c r="F22" s="16">
        <v>53.9</v>
      </c>
      <c r="G22" s="12">
        <f>C22/C21-1</f>
        <v>-0.0805902383654938</v>
      </c>
      <c r="H22" s="12">
        <f>(E22+F22-C22)/C22</f>
        <v>-0.81358024691358</v>
      </c>
      <c r="I22" s="12">
        <f>AVERAGE(H19:H22)</f>
        <v>-0.817050574223977</v>
      </c>
      <c r="J22" s="12"/>
      <c r="K22" s="12">
        <f>('Cashflow '!D30-'Cashflow '!C30)/'Cashflow '!C30</f>
        <v>-0.86777843954735</v>
      </c>
    </row>
    <row r="23" ht="20.05" customHeight="1">
      <c r="B23" s="29"/>
      <c r="C23" s="15">
        <f>1586-SUM(C20:C22)</f>
        <v>528.4</v>
      </c>
      <c r="D23" s="16">
        <v>356.4</v>
      </c>
      <c r="E23" s="16">
        <f>3.4+2.3+1.7+3.1+3.7+2.2+0.5-SUM(E20:E22)</f>
        <v>2.8</v>
      </c>
      <c r="F23" s="16">
        <f>354-SUM(F20:F22)</f>
        <v>154.1</v>
      </c>
      <c r="G23" s="12">
        <f>C23/C22-1</f>
        <v>0.630864197530864</v>
      </c>
      <c r="H23" s="12">
        <f>(E23+F23-C23)/C23</f>
        <v>-0.703065859197578</v>
      </c>
      <c r="I23" s="12">
        <f>AVERAGE(H20:H23)</f>
        <v>-0.775790011996344</v>
      </c>
      <c r="J23" s="12">
        <f>I23</f>
        <v>-0.775790011996344</v>
      </c>
      <c r="K23" s="12">
        <f>('Cashflow '!D31-'Cashflow '!C31)/'Cashflow '!C31</f>
        <v>-0.65353371242892</v>
      </c>
    </row>
    <row r="24" ht="20.05" customHeight="1">
      <c r="B24" s="30">
        <v>2022</v>
      </c>
      <c r="C24" s="15"/>
      <c r="D24" s="16">
        <f>'Model'!C6</f>
        <v>591.808</v>
      </c>
      <c r="E24" s="16"/>
      <c r="F24" s="16"/>
      <c r="G24" s="12"/>
      <c r="H24" s="31"/>
      <c r="I24" s="31"/>
      <c r="J24" s="12">
        <f>'Model'!C7</f>
        <v>-0.739427935596961</v>
      </c>
      <c r="K24" s="12"/>
    </row>
    <row r="25" ht="20.05" customHeight="1">
      <c r="B25" s="29"/>
      <c r="C25" s="15"/>
      <c r="D25" s="18">
        <f>'Model'!D6</f>
        <v>621.3984</v>
      </c>
      <c r="E25" s="16"/>
      <c r="F25" s="16"/>
      <c r="G25" s="12"/>
      <c r="H25" s="12"/>
      <c r="I25" s="12"/>
      <c r="J25" s="12"/>
      <c r="K25" s="12"/>
    </row>
    <row r="26" ht="20.05" customHeight="1">
      <c r="B26" s="29"/>
      <c r="C26" s="15"/>
      <c r="D26" s="18">
        <f>SUM('Model'!E6)</f>
        <v>652.4683199999999</v>
      </c>
      <c r="E26" s="16"/>
      <c r="F26" s="16"/>
      <c r="G26" s="12"/>
      <c r="H26" s="12"/>
      <c r="I26" s="12"/>
      <c r="J26" s="12"/>
      <c r="K26" s="12"/>
    </row>
    <row r="27" ht="20.05" customHeight="1">
      <c r="B27" s="29"/>
      <c r="C27" s="15"/>
      <c r="D27" s="18">
        <f>'Model'!F6</f>
        <v>672.0423696</v>
      </c>
      <c r="E27" s="16"/>
      <c r="F27" s="16"/>
      <c r="G27" s="12"/>
      <c r="H27" s="12"/>
      <c r="I27" s="12"/>
      <c r="J27" s="12"/>
      <c r="K27" s="12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M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0625" style="32" customWidth="1"/>
    <col min="2" max="2" width="10.7422" style="32" customWidth="1"/>
    <col min="3" max="4" width="10.375" style="32" customWidth="1"/>
    <col min="5" max="5" width="10.1719" style="32" customWidth="1"/>
    <col min="6" max="13" width="9.53906" style="32" customWidth="1"/>
    <col min="14" max="16384" width="16.3516" style="32" customWidth="1"/>
  </cols>
  <sheetData>
    <row r="1" ht="10.6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32.25" customHeight="1">
      <c r="B3" t="s" s="5">
        <v>1</v>
      </c>
      <c r="C3" t="s" s="5">
        <v>47</v>
      </c>
      <c r="D3" t="s" s="5">
        <v>48</v>
      </c>
      <c r="E3" t="s" s="5">
        <v>9</v>
      </c>
      <c r="F3" t="s" s="5">
        <v>11</v>
      </c>
      <c r="G3" t="s" s="5">
        <v>25</v>
      </c>
      <c r="H3" t="s" s="5">
        <v>49</v>
      </c>
      <c r="I3" t="s" s="5">
        <v>50</v>
      </c>
      <c r="J3" t="s" s="5">
        <v>3</v>
      </c>
      <c r="K3" t="s" s="5">
        <v>35</v>
      </c>
      <c r="L3" t="s" s="5">
        <v>30</v>
      </c>
      <c r="M3" t="s" s="5">
        <v>35</v>
      </c>
    </row>
    <row r="4" ht="20.25" customHeight="1">
      <c r="B4" s="26">
        <v>2015</v>
      </c>
      <c r="C4" s="27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33">
        <f>D4+E4</f>
        <v>0</v>
      </c>
      <c r="J4" s="34"/>
      <c r="K4" s="33"/>
      <c r="L4" s="33">
        <f>-(H4)</f>
        <v>0</v>
      </c>
      <c r="M4" s="33"/>
    </row>
    <row r="5" ht="20.05" customHeight="1">
      <c r="B5" s="29"/>
      <c r="C5" s="17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6">
        <f>D5+E5</f>
        <v>0</v>
      </c>
      <c r="J5" s="21"/>
      <c r="K5" s="18"/>
      <c r="L5" s="18">
        <f>-(H5)+L4</f>
        <v>0</v>
      </c>
      <c r="M5" s="18"/>
    </row>
    <row r="6" ht="20.05" customHeight="1">
      <c r="B6" s="29"/>
      <c r="C6" s="17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6">
        <f>D6+E6</f>
        <v>0</v>
      </c>
      <c r="J6" s="21"/>
      <c r="K6" s="18"/>
      <c r="L6" s="18">
        <f>-(H6)+L5</f>
        <v>0</v>
      </c>
      <c r="M6" s="18"/>
    </row>
    <row r="7" ht="20.05" customHeight="1">
      <c r="B7" s="29"/>
      <c r="C7" s="17">
        <v>336.2</v>
      </c>
      <c r="D7" s="18">
        <v>-8.199999999999999</v>
      </c>
      <c r="E7" s="18">
        <v>-55.3</v>
      </c>
      <c r="F7" s="18">
        <v>48.1</v>
      </c>
      <c r="G7" s="18">
        <v>-3.1</v>
      </c>
      <c r="H7" s="18">
        <v>45</v>
      </c>
      <c r="I7" s="16">
        <f>D7+E7</f>
        <v>-63.5</v>
      </c>
      <c r="J7" s="21"/>
      <c r="K7" s="18"/>
      <c r="L7" s="18">
        <f>-(H7)+L6</f>
        <v>-45</v>
      </c>
      <c r="M7" s="18"/>
    </row>
    <row r="8" ht="20.05" customHeight="1">
      <c r="B8" s="30">
        <v>2016</v>
      </c>
      <c r="C8" s="17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6">
        <f>D8+E8</f>
        <v>0</v>
      </c>
      <c r="J8" s="16">
        <f>AVERAGE(I5:I8)</f>
        <v>-15.875</v>
      </c>
      <c r="K8" s="18"/>
      <c r="L8" s="18">
        <f>-(H8)+L7</f>
        <v>-45</v>
      </c>
      <c r="M8" s="18"/>
    </row>
    <row r="9" ht="20.05" customHeight="1">
      <c r="B9" s="29"/>
      <c r="C9" s="17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6">
        <f>D9+E9</f>
        <v>0</v>
      </c>
      <c r="J9" s="16">
        <f>AVERAGE(I6:I9)</f>
        <v>-15.875</v>
      </c>
      <c r="K9" s="18"/>
      <c r="L9" s="18">
        <f>-(H9)+L8</f>
        <v>-45</v>
      </c>
      <c r="M9" s="18"/>
    </row>
    <row r="10" ht="20.05" customHeight="1">
      <c r="B10" s="29"/>
      <c r="C10" s="17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6">
        <f>D10+E10</f>
        <v>0</v>
      </c>
      <c r="J10" s="16">
        <f>AVERAGE(I7:I10)</f>
        <v>-15.875</v>
      </c>
      <c r="K10" s="18"/>
      <c r="L10" s="18">
        <f>-(H10)+L9</f>
        <v>-45</v>
      </c>
      <c r="M10" s="18"/>
    </row>
    <row r="11" ht="20.05" customHeight="1">
      <c r="B11" s="29"/>
      <c r="C11" s="17">
        <v>397.4</v>
      </c>
      <c r="D11" s="18">
        <v>50</v>
      </c>
      <c r="E11" s="18">
        <v>-19.5</v>
      </c>
      <c r="F11" s="18">
        <v>-3.1</v>
      </c>
      <c r="G11" s="18">
        <v>-16.3</v>
      </c>
      <c r="H11" s="18">
        <v>-19.4</v>
      </c>
      <c r="I11" s="16">
        <f>D11+E11</f>
        <v>30.5</v>
      </c>
      <c r="J11" s="16">
        <f>AVERAGE(I8:I11)</f>
        <v>7.625</v>
      </c>
      <c r="K11" s="18"/>
      <c r="L11" s="18">
        <f>-(H11)+L10</f>
        <v>-25.6</v>
      </c>
      <c r="M11" s="18"/>
    </row>
    <row r="12" ht="20.05" customHeight="1">
      <c r="B12" s="30">
        <v>2017</v>
      </c>
      <c r="C12" s="17">
        <v>120.4</v>
      </c>
      <c r="D12" s="18">
        <v>22.8</v>
      </c>
      <c r="E12" s="18">
        <v>-1.5</v>
      </c>
      <c r="F12" s="18">
        <v>5.3</v>
      </c>
      <c r="G12" s="18">
        <v>0</v>
      </c>
      <c r="H12" s="18">
        <v>5.3</v>
      </c>
      <c r="I12" s="16">
        <f>D12+E12</f>
        <v>21.3</v>
      </c>
      <c r="J12" s="16">
        <f>AVERAGE(I9:I12)</f>
        <v>12.95</v>
      </c>
      <c r="K12" s="18"/>
      <c r="L12" s="18">
        <f>-(H12)+L11</f>
        <v>-30.9</v>
      </c>
      <c r="M12" s="18"/>
    </row>
    <row r="13" ht="20.05" customHeight="1">
      <c r="B13" s="29"/>
      <c r="C13" s="17">
        <v>134.1</v>
      </c>
      <c r="D13" s="18">
        <v>-0.8</v>
      </c>
      <c r="E13" s="18">
        <v>4.9</v>
      </c>
      <c r="F13" s="18">
        <v>32.5</v>
      </c>
      <c r="G13" s="18">
        <v>-15.2</v>
      </c>
      <c r="H13" s="18">
        <v>17.3</v>
      </c>
      <c r="I13" s="16">
        <f>D13+E13</f>
        <v>4.1</v>
      </c>
      <c r="J13" s="16">
        <f>AVERAGE(I10:I13)</f>
        <v>13.975</v>
      </c>
      <c r="K13" s="18"/>
      <c r="L13" s="18">
        <f>-(H13)+L12</f>
        <v>-48.2</v>
      </c>
      <c r="M13" s="18"/>
    </row>
    <row r="14" ht="20.05" customHeight="1">
      <c r="B14" s="29"/>
      <c r="C14" s="17">
        <v>151.6</v>
      </c>
      <c r="D14" s="18">
        <v>43.1</v>
      </c>
      <c r="E14" s="18">
        <v>-18</v>
      </c>
      <c r="F14" s="18">
        <v>-32.5</v>
      </c>
      <c r="G14" s="18">
        <v>-16</v>
      </c>
      <c r="H14" s="18">
        <v>-48.5</v>
      </c>
      <c r="I14" s="16">
        <f>D14+E14</f>
        <v>25.1</v>
      </c>
      <c r="J14" s="16">
        <f>AVERAGE(I11:I14)</f>
        <v>20.25</v>
      </c>
      <c r="K14" s="18"/>
      <c r="L14" s="18">
        <f>-(H14)+L13</f>
        <v>0.3</v>
      </c>
      <c r="M14" s="18"/>
    </row>
    <row r="15" ht="20.05" customHeight="1">
      <c r="B15" s="29"/>
      <c r="C15" s="17">
        <v>298.9</v>
      </c>
      <c r="D15" s="18">
        <v>92.59999999999999</v>
      </c>
      <c r="E15" s="18">
        <v>-8.800000000000001</v>
      </c>
      <c r="F15" s="18">
        <v>10.3</v>
      </c>
      <c r="G15" s="18">
        <v>-1</v>
      </c>
      <c r="H15" s="18">
        <v>9.300000000000001</v>
      </c>
      <c r="I15" s="16">
        <f>D15+E15</f>
        <v>83.8</v>
      </c>
      <c r="J15" s="16">
        <f>AVERAGE(I12:I15)</f>
        <v>33.575</v>
      </c>
      <c r="K15" s="18"/>
      <c r="L15" s="18">
        <f>-(H15)+L14</f>
        <v>-9</v>
      </c>
      <c r="M15" s="18"/>
    </row>
    <row r="16" ht="20.05" customHeight="1">
      <c r="B16" s="30">
        <v>2018</v>
      </c>
      <c r="C16" s="17">
        <v>292.2</v>
      </c>
      <c r="D16" s="18">
        <v>74.90000000000001</v>
      </c>
      <c r="E16" s="18">
        <v>-4.1</v>
      </c>
      <c r="F16" s="18">
        <v>12.6</v>
      </c>
      <c r="G16" s="18">
        <v>-60</v>
      </c>
      <c r="H16" s="18">
        <v>-47.4</v>
      </c>
      <c r="I16" s="16">
        <f>D16+E16</f>
        <v>70.8</v>
      </c>
      <c r="J16" s="16">
        <f>AVERAGE(I13:I16)</f>
        <v>45.95</v>
      </c>
      <c r="K16" s="18"/>
      <c r="L16" s="18">
        <f>-(H16)+L15</f>
        <v>38.4</v>
      </c>
      <c r="M16" s="18"/>
    </row>
    <row r="17" ht="20.05" customHeight="1">
      <c r="B17" s="29"/>
      <c r="C17" s="17">
        <v>204.3</v>
      </c>
      <c r="D17" s="18">
        <v>-78.40000000000001</v>
      </c>
      <c r="E17" s="18">
        <v>-4.1</v>
      </c>
      <c r="F17" s="18">
        <v>-17.8</v>
      </c>
      <c r="G17" s="18">
        <v>-60</v>
      </c>
      <c r="H17" s="18">
        <v>-77.8</v>
      </c>
      <c r="I17" s="16">
        <f>D17+E17</f>
        <v>-82.5</v>
      </c>
      <c r="J17" s="16">
        <f>AVERAGE(I14:I17)</f>
        <v>24.3</v>
      </c>
      <c r="K17" s="18"/>
      <c r="L17" s="18">
        <f>-(H17)+L16</f>
        <v>116.2</v>
      </c>
      <c r="M17" s="18"/>
    </row>
    <row r="18" ht="20.05" customHeight="1">
      <c r="B18" s="29"/>
      <c r="C18" s="17">
        <v>245.7</v>
      </c>
      <c r="D18" s="18">
        <v>60.3</v>
      </c>
      <c r="E18" s="18">
        <v>-49.1</v>
      </c>
      <c r="F18" s="18">
        <v>15.2</v>
      </c>
      <c r="G18" s="18">
        <v>-1.6</v>
      </c>
      <c r="H18" s="18">
        <v>13.6</v>
      </c>
      <c r="I18" s="16">
        <f>D18+E18</f>
        <v>11.2</v>
      </c>
      <c r="J18" s="16">
        <f>AVERAGE(I15:I18)</f>
        <v>20.825</v>
      </c>
      <c r="K18" s="18"/>
      <c r="L18" s="18">
        <f>-(H18)+L17</f>
        <v>102.6</v>
      </c>
      <c r="M18" s="18"/>
    </row>
    <row r="19" ht="20.05" customHeight="1">
      <c r="B19" s="29"/>
      <c r="C19" s="17">
        <v>294.3</v>
      </c>
      <c r="D19" s="18">
        <v>22.9</v>
      </c>
      <c r="E19" s="18">
        <v>-24.2</v>
      </c>
      <c r="F19" s="18">
        <v>13.8</v>
      </c>
      <c r="G19" s="18">
        <v>-0.4</v>
      </c>
      <c r="H19" s="18">
        <v>13.4</v>
      </c>
      <c r="I19" s="16">
        <f>D19+E19</f>
        <v>-1.3</v>
      </c>
      <c r="J19" s="16">
        <f>AVERAGE(I16:I19)</f>
        <v>-0.45</v>
      </c>
      <c r="K19" s="18"/>
      <c r="L19" s="18">
        <f>-(H19)+L18</f>
        <v>89.2</v>
      </c>
      <c r="M19" s="18"/>
    </row>
    <row r="20" ht="20.05" customHeight="1">
      <c r="B20" s="30">
        <v>2019</v>
      </c>
      <c r="C20" s="17">
        <v>255.8</v>
      </c>
      <c r="D20" s="18">
        <v>0.4</v>
      </c>
      <c r="E20" s="18">
        <v>-7</v>
      </c>
      <c r="F20" s="18">
        <v>2.3</v>
      </c>
      <c r="G20" s="18">
        <v>-14.9</v>
      </c>
      <c r="H20" s="18">
        <v>-12.6</v>
      </c>
      <c r="I20" s="16">
        <f>D20+E20</f>
        <v>-6.6</v>
      </c>
      <c r="J20" s="16">
        <f>AVERAGE(I17:I20)</f>
        <v>-19.8</v>
      </c>
      <c r="K20" s="18"/>
      <c r="L20" s="18">
        <f>-(H20)+L19</f>
        <v>101.8</v>
      </c>
      <c r="M20" s="18"/>
    </row>
    <row r="21" ht="20.05" customHeight="1">
      <c r="B21" s="29"/>
      <c r="C21" s="17">
        <v>255</v>
      </c>
      <c r="D21" s="18">
        <v>15.1</v>
      </c>
      <c r="E21" s="18">
        <v>-7.7</v>
      </c>
      <c r="F21" s="18">
        <v>12</v>
      </c>
      <c r="G21" s="18">
        <v>-0.7</v>
      </c>
      <c r="H21" s="18">
        <v>11.3</v>
      </c>
      <c r="I21" s="16">
        <f>D21+E21</f>
        <v>7.4</v>
      </c>
      <c r="J21" s="16">
        <f>AVERAGE(I18:I21)</f>
        <v>2.675</v>
      </c>
      <c r="K21" s="18"/>
      <c r="L21" s="18">
        <f>-(H21)+L20</f>
        <v>90.5</v>
      </c>
      <c r="M21" s="18"/>
    </row>
    <row r="22" ht="20.05" customHeight="1">
      <c r="B22" s="29"/>
      <c r="C22" s="17">
        <v>258.1</v>
      </c>
      <c r="D22" s="18">
        <v>84.2</v>
      </c>
      <c r="E22" s="18">
        <v>-6.5</v>
      </c>
      <c r="F22" s="18">
        <v>-0.7</v>
      </c>
      <c r="G22" s="18">
        <v>-23</v>
      </c>
      <c r="H22" s="18">
        <v>-23.7</v>
      </c>
      <c r="I22" s="16">
        <f>D22+E22</f>
        <v>77.7</v>
      </c>
      <c r="J22" s="16">
        <f>AVERAGE(I19:I22)</f>
        <v>19.3</v>
      </c>
      <c r="K22" s="18"/>
      <c r="L22" s="18">
        <f>-(H22)+L21</f>
        <v>114.2</v>
      </c>
      <c r="M22" s="18"/>
    </row>
    <row r="23" ht="20.05" customHeight="1">
      <c r="B23" s="29"/>
      <c r="C23" s="17">
        <v>330.6</v>
      </c>
      <c r="D23" s="18">
        <v>5.7</v>
      </c>
      <c r="E23" s="18">
        <v>-3.5</v>
      </c>
      <c r="F23" s="18">
        <v>1.5</v>
      </c>
      <c r="G23" s="18">
        <v>0.1</v>
      </c>
      <c r="H23" s="18">
        <v>1.6</v>
      </c>
      <c r="I23" s="16">
        <f>D23+E23</f>
        <v>2.2</v>
      </c>
      <c r="J23" s="16">
        <f>AVERAGE(I20:I23)</f>
        <v>20.175</v>
      </c>
      <c r="K23" s="18"/>
      <c r="L23" s="18">
        <f>-(H23)+L22</f>
        <v>112.6</v>
      </c>
      <c r="M23" s="18"/>
    </row>
    <row r="24" ht="20.05" customHeight="1">
      <c r="B24" s="30">
        <v>2020</v>
      </c>
      <c r="C24" s="17">
        <v>339.9</v>
      </c>
      <c r="D24" s="18">
        <v>23.2</v>
      </c>
      <c r="E24" s="18">
        <v>-3.7</v>
      </c>
      <c r="F24" s="18">
        <v>-0.9</v>
      </c>
      <c r="G24" s="18">
        <v>-0.7</v>
      </c>
      <c r="H24" s="18">
        <v>-1.6</v>
      </c>
      <c r="I24" s="16">
        <f>D24+E24</f>
        <v>19.5</v>
      </c>
      <c r="J24" s="16">
        <f>AVERAGE(I21:I24)</f>
        <v>26.7</v>
      </c>
      <c r="K24" s="18"/>
      <c r="L24" s="18">
        <f>-(H24)+L23</f>
        <v>114.2</v>
      </c>
      <c r="M24" s="18"/>
    </row>
    <row r="25" ht="20.05" customHeight="1">
      <c r="B25" s="29"/>
      <c r="C25" s="17">
        <v>261</v>
      </c>
      <c r="D25" s="18">
        <v>10.4</v>
      </c>
      <c r="E25" s="18">
        <v>-1.9</v>
      </c>
      <c r="F25" s="18">
        <v>-8</v>
      </c>
      <c r="G25" s="18">
        <v>-0.8</v>
      </c>
      <c r="H25" s="18">
        <v>-8.800000000000001</v>
      </c>
      <c r="I25" s="16">
        <f>D25+E25</f>
        <v>8.5</v>
      </c>
      <c r="J25" s="16">
        <f>AVERAGE(I22:I25)</f>
        <v>26.975</v>
      </c>
      <c r="K25" s="18"/>
      <c r="L25" s="18">
        <f>-(H25)+L24</f>
        <v>123</v>
      </c>
      <c r="M25" s="18"/>
    </row>
    <row r="26" ht="20.05" customHeight="1">
      <c r="B26" s="29"/>
      <c r="C26" s="17">
        <v>209.3</v>
      </c>
      <c r="D26" s="18">
        <v>44.1</v>
      </c>
      <c r="E26" s="18">
        <v>-4.3</v>
      </c>
      <c r="F26" s="18">
        <v>13</v>
      </c>
      <c r="G26" s="18">
        <v>-53</v>
      </c>
      <c r="H26" s="18">
        <v>-40</v>
      </c>
      <c r="I26" s="16">
        <f>D26+E26</f>
        <v>39.8</v>
      </c>
      <c r="J26" s="16">
        <f>AVERAGE(I23:I26)</f>
        <v>17.5</v>
      </c>
      <c r="K26" s="18"/>
      <c r="L26" s="18">
        <f>-(H26)+L25</f>
        <v>163</v>
      </c>
      <c r="M26" s="18"/>
    </row>
    <row r="27" ht="20.05" customHeight="1">
      <c r="B27" s="29"/>
      <c r="C27" s="17">
        <v>262.9</v>
      </c>
      <c r="D27" s="18">
        <v>67.3</v>
      </c>
      <c r="E27" s="18">
        <v>-2.8</v>
      </c>
      <c r="F27" s="18">
        <v>7.5</v>
      </c>
      <c r="G27" s="18">
        <v>-20</v>
      </c>
      <c r="H27" s="18">
        <v>-12.5</v>
      </c>
      <c r="I27" s="16">
        <f>D27+E27</f>
        <v>64.5</v>
      </c>
      <c r="J27" s="16">
        <f>AVERAGE(I24:I27)</f>
        <v>33.075</v>
      </c>
      <c r="K27" s="18"/>
      <c r="L27" s="18">
        <f>-(H27)+L26</f>
        <v>175.5</v>
      </c>
      <c r="M27" s="18"/>
    </row>
    <row r="28" ht="20.05" customHeight="1">
      <c r="B28" s="30">
        <v>2021</v>
      </c>
      <c r="C28" s="17">
        <v>375.9</v>
      </c>
      <c r="D28" s="18">
        <v>102.2</v>
      </c>
      <c r="E28" s="18">
        <v>-6.2</v>
      </c>
      <c r="F28" s="18">
        <v>-2.7</v>
      </c>
      <c r="G28" s="18">
        <v>-29.9</v>
      </c>
      <c r="H28" s="18">
        <v>-32.6</v>
      </c>
      <c r="I28" s="16">
        <f>D28+E28</f>
        <v>96</v>
      </c>
      <c r="J28" s="16">
        <f>AVERAGE(I25:I28)</f>
        <v>52.2</v>
      </c>
      <c r="K28" s="18"/>
      <c r="L28" s="18">
        <f>-(H28)+L27</f>
        <v>208.1</v>
      </c>
      <c r="M28" s="18"/>
    </row>
    <row r="29" ht="20.05" customHeight="1">
      <c r="B29" s="29"/>
      <c r="C29" s="17">
        <v>345.7</v>
      </c>
      <c r="D29" s="18">
        <v>56.2</v>
      </c>
      <c r="E29" s="18">
        <v>-2.3</v>
      </c>
      <c r="F29" s="18">
        <v>-35.9</v>
      </c>
      <c r="G29" s="18">
        <v>-153.6</v>
      </c>
      <c r="H29" s="18">
        <v>-189.5</v>
      </c>
      <c r="I29" s="16">
        <f>D29+E29</f>
        <v>53.9</v>
      </c>
      <c r="J29" s="16">
        <f>AVERAGE(I26:I29)</f>
        <v>63.55</v>
      </c>
      <c r="K29" s="18"/>
      <c r="L29" s="18">
        <f>-(H29)+L28</f>
        <v>397.6</v>
      </c>
      <c r="M29" s="18"/>
    </row>
    <row r="30" ht="20.05" customHeight="1">
      <c r="B30" s="29"/>
      <c r="C30" s="17">
        <v>335.8</v>
      </c>
      <c r="D30" s="18">
        <v>44.4</v>
      </c>
      <c r="E30" s="18">
        <v>0.3</v>
      </c>
      <c r="F30" s="18">
        <v>-15.3</v>
      </c>
      <c r="G30" s="18">
        <v>-61.2</v>
      </c>
      <c r="H30" s="18">
        <v>-76.5</v>
      </c>
      <c r="I30" s="16">
        <f>D30+E30</f>
        <v>44.7</v>
      </c>
      <c r="J30" s="16">
        <f>AVERAGE(I27:I30)</f>
        <v>64.77500000000001</v>
      </c>
      <c r="K30" s="18"/>
      <c r="L30" s="18">
        <f>-(H30)+L29</f>
        <v>474.1</v>
      </c>
      <c r="M30" s="18"/>
    </row>
    <row r="31" ht="20.05" customHeight="1">
      <c r="B31" s="29"/>
      <c r="C31" s="17">
        <f>1549.8-SUM(C28:C30)</f>
        <v>492.4</v>
      </c>
      <c r="D31" s="18">
        <f>373.4-SUM(D28:D30)</f>
        <v>170.6</v>
      </c>
      <c r="E31" s="18">
        <f>-10-SUM(E28:E30)</f>
        <v>-1.8</v>
      </c>
      <c r="F31" s="18">
        <f>-69.5-26.3+32.3-SUM(F28:F30)</f>
        <v>-9.6</v>
      </c>
      <c r="G31" s="18">
        <f>-7.7-300-SUM(G28:G30)</f>
        <v>-63</v>
      </c>
      <c r="H31" s="18">
        <f>-371.1-SUM(H28:H30)</f>
        <v>-72.5</v>
      </c>
      <c r="I31" s="16">
        <f>D31+E31</f>
        <v>168.8</v>
      </c>
      <c r="J31" s="16">
        <f>AVERAGE(I28:I31)</f>
        <v>90.84999999999999</v>
      </c>
      <c r="K31" s="18">
        <f>J31</f>
        <v>90.84999999999999</v>
      </c>
      <c r="L31" s="18">
        <f>-(H31)+L30</f>
        <v>546.6</v>
      </c>
      <c r="M31" s="18">
        <f>L31</f>
        <v>546.6</v>
      </c>
    </row>
    <row r="32" ht="20.05" customHeight="1">
      <c r="B32" s="30">
        <v>2022</v>
      </c>
      <c r="C32" s="17"/>
      <c r="D32" s="24"/>
      <c r="E32" s="18"/>
      <c r="F32" s="18"/>
      <c r="G32" s="18"/>
      <c r="H32" s="18"/>
      <c r="I32" s="16"/>
      <c r="J32" s="31"/>
      <c r="K32" s="16">
        <f>SUM('Model'!F9:F10)</f>
        <v>172.615467612982</v>
      </c>
      <c r="L32" s="31"/>
      <c r="M32" s="18">
        <f>'Model'!F33</f>
        <v>836.7757480223841</v>
      </c>
    </row>
  </sheetData>
  <mergeCells count="1">
    <mergeCell ref="B2:M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8.1562" style="35" customWidth="1"/>
    <col min="2" max="2" width="7.53906" style="35" customWidth="1"/>
    <col min="3" max="11" width="9.98438" style="35" customWidth="1"/>
    <col min="12" max="16384" width="16.3516" style="35" customWidth="1"/>
  </cols>
  <sheetData>
    <row r="1" ht="35.7" customHeight="1"/>
    <row r="2" ht="27.65" customHeight="1">
      <c r="B2" t="s" s="2">
        <v>21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51</v>
      </c>
      <c r="D3" t="s" s="5">
        <v>52</v>
      </c>
      <c r="E3" t="s" s="5">
        <v>53</v>
      </c>
      <c r="F3" t="s" s="5">
        <v>23</v>
      </c>
      <c r="G3" t="s" s="5">
        <v>11</v>
      </c>
      <c r="H3" t="s" s="5">
        <v>25</v>
      </c>
      <c r="I3" t="s" s="5">
        <v>26</v>
      </c>
      <c r="J3" t="s" s="5">
        <v>54</v>
      </c>
      <c r="K3" t="s" s="5">
        <v>35</v>
      </c>
    </row>
    <row r="4" ht="20.25" customHeight="1">
      <c r="B4" s="26">
        <v>2015</v>
      </c>
      <c r="C4" s="27">
        <v>43</v>
      </c>
      <c r="D4" s="28">
        <v>370</v>
      </c>
      <c r="E4" s="28">
        <f>D4-C4</f>
        <v>327</v>
      </c>
      <c r="F4" s="28"/>
      <c r="G4" s="28">
        <v>122</v>
      </c>
      <c r="H4" s="28">
        <v>248</v>
      </c>
      <c r="I4" s="28">
        <f>G4+H4-C4-E4</f>
        <v>0</v>
      </c>
      <c r="J4" s="28">
        <f>C4-G4</f>
        <v>-79</v>
      </c>
      <c r="K4" s="28"/>
    </row>
    <row r="5" ht="20.05" customHeight="1">
      <c r="B5" s="30">
        <v>2016</v>
      </c>
      <c r="C5" s="17"/>
      <c r="D5" s="18"/>
      <c r="E5" s="18">
        <f>D5-C5</f>
        <v>0</v>
      </c>
      <c r="F5" s="18"/>
      <c r="G5" s="18"/>
      <c r="H5" s="18"/>
      <c r="I5" s="18">
        <f>G5+H5-C5-E5</f>
        <v>0</v>
      </c>
      <c r="J5" s="18">
        <f>C5-G5</f>
        <v>0</v>
      </c>
      <c r="K5" s="18"/>
    </row>
    <row r="6" ht="20.05" customHeight="1">
      <c r="B6" s="29"/>
      <c r="C6" s="17"/>
      <c r="D6" s="18"/>
      <c r="E6" s="18">
        <f>D6-C6</f>
        <v>0</v>
      </c>
      <c r="F6" s="18"/>
      <c r="G6" s="18"/>
      <c r="H6" s="18"/>
      <c r="I6" s="18">
        <f>G6+H6-C6-E6</f>
        <v>0</v>
      </c>
      <c r="J6" s="18">
        <f>C6-G6</f>
        <v>0</v>
      </c>
      <c r="K6" s="18"/>
    </row>
    <row r="7" ht="20.05" customHeight="1">
      <c r="B7" s="29"/>
      <c r="C7" s="17"/>
      <c r="D7" s="18"/>
      <c r="E7" s="18">
        <f>D7-C7</f>
        <v>0</v>
      </c>
      <c r="F7" s="18"/>
      <c r="G7" s="18"/>
      <c r="H7" s="18"/>
      <c r="I7" s="18">
        <f>G7+H7-C7-E7</f>
        <v>0</v>
      </c>
      <c r="J7" s="18">
        <f>C7-G7</f>
        <v>0</v>
      </c>
      <c r="K7" s="18"/>
    </row>
    <row r="8" ht="20.05" customHeight="1">
      <c r="B8" s="29"/>
      <c r="C8" s="17">
        <v>58</v>
      </c>
      <c r="D8" s="18">
        <v>378</v>
      </c>
      <c r="E8" s="18">
        <f>D8-C8</f>
        <v>320</v>
      </c>
      <c r="F8" s="18">
        <f>87+20+2</f>
        <v>109</v>
      </c>
      <c r="G8" s="18">
        <v>113</v>
      </c>
      <c r="H8" s="18">
        <v>265</v>
      </c>
      <c r="I8" s="18">
        <f>G8+H8-C8-E8</f>
        <v>0</v>
      </c>
      <c r="J8" s="18">
        <f>C8-G8</f>
        <v>-55</v>
      </c>
      <c r="K8" s="18"/>
    </row>
    <row r="9" ht="20.05" customHeight="1">
      <c r="B9" s="30">
        <v>2017</v>
      </c>
      <c r="C9" s="17"/>
      <c r="D9" s="18"/>
      <c r="E9" s="18">
        <f>D9-C9</f>
        <v>0</v>
      </c>
      <c r="F9" s="18"/>
      <c r="G9" s="18"/>
      <c r="H9" s="18"/>
      <c r="I9" s="18">
        <f>G9+H9-C9-E9</f>
        <v>0</v>
      </c>
      <c r="J9" s="18">
        <f>C9-G9</f>
        <v>0</v>
      </c>
      <c r="K9" s="18"/>
    </row>
    <row r="10" ht="20.05" customHeight="1">
      <c r="B10" s="29"/>
      <c r="C10" s="17"/>
      <c r="D10" s="18"/>
      <c r="E10" s="18">
        <f>D10-C10</f>
        <v>0</v>
      </c>
      <c r="F10" s="18"/>
      <c r="G10" s="18"/>
      <c r="H10" s="18"/>
      <c r="I10" s="18">
        <f>G10+H10-C10-E10</f>
        <v>0</v>
      </c>
      <c r="J10" s="18">
        <f>C10-G10</f>
        <v>0</v>
      </c>
      <c r="K10" s="18"/>
    </row>
    <row r="11" ht="20.05" customHeight="1">
      <c r="B11" s="29"/>
      <c r="C11" s="17"/>
      <c r="D11" s="18"/>
      <c r="E11" s="18">
        <f>D11-C11</f>
        <v>0</v>
      </c>
      <c r="F11" s="18"/>
      <c r="G11" s="18"/>
      <c r="H11" s="18"/>
      <c r="I11" s="18">
        <f>G11+H11-C11-E11</f>
        <v>0</v>
      </c>
      <c r="J11" s="18">
        <f>C11-G11</f>
        <v>0</v>
      </c>
      <c r="K11" s="18"/>
    </row>
    <row r="12" ht="20.05" customHeight="1">
      <c r="B12" s="29"/>
      <c r="C12" s="17">
        <v>175</v>
      </c>
      <c r="D12" s="18">
        <v>590</v>
      </c>
      <c r="E12" s="18">
        <f>D12-C12</f>
        <v>415</v>
      </c>
      <c r="F12" s="18">
        <f>92+25+2</f>
        <v>119</v>
      </c>
      <c r="G12" s="18">
        <v>298</v>
      </c>
      <c r="H12" s="18">
        <v>292</v>
      </c>
      <c r="I12" s="18">
        <f>G12+H12-C12-E12</f>
        <v>0</v>
      </c>
      <c r="J12" s="18">
        <f>C12-G12</f>
        <v>-123</v>
      </c>
      <c r="K12" s="18"/>
    </row>
    <row r="13" ht="20.05" customHeight="1">
      <c r="B13" s="30">
        <v>2018</v>
      </c>
      <c r="C13" s="17">
        <v>197</v>
      </c>
      <c r="D13" s="18">
        <v>610</v>
      </c>
      <c r="E13" s="18">
        <f>D13-C13</f>
        <v>413</v>
      </c>
      <c r="F13" s="18">
        <f>2+93+26</f>
        <v>121</v>
      </c>
      <c r="G13" s="18">
        <v>269</v>
      </c>
      <c r="H13" s="18">
        <v>341</v>
      </c>
      <c r="I13" s="18">
        <f>G13+H13-C13-E13</f>
        <v>0</v>
      </c>
      <c r="J13" s="18">
        <f>C13-G13</f>
        <v>-72</v>
      </c>
      <c r="K13" s="18"/>
    </row>
    <row r="14" ht="20.05" customHeight="1">
      <c r="B14" s="29"/>
      <c r="C14" s="17">
        <v>36</v>
      </c>
      <c r="D14" s="18">
        <v>504</v>
      </c>
      <c r="E14" s="18">
        <f>D14-C14</f>
        <v>468</v>
      </c>
      <c r="F14" s="18">
        <f>2+93+27</f>
        <v>122</v>
      </c>
      <c r="G14" s="18">
        <v>204</v>
      </c>
      <c r="H14" s="18">
        <v>300</v>
      </c>
      <c r="I14" s="18">
        <f>G14+H14-C14-E14</f>
        <v>0</v>
      </c>
      <c r="J14" s="18">
        <f>C14-G14</f>
        <v>-168</v>
      </c>
      <c r="K14" s="18"/>
    </row>
    <row r="15" ht="20.05" customHeight="1">
      <c r="B15" s="29"/>
      <c r="C15" s="17">
        <v>61</v>
      </c>
      <c r="D15" s="18">
        <v>721</v>
      </c>
      <c r="E15" s="18">
        <f>D15-C15</f>
        <v>660</v>
      </c>
      <c r="F15" s="18">
        <f>2+94+31</f>
        <v>127</v>
      </c>
      <c r="G15" s="18">
        <v>392</v>
      </c>
      <c r="H15" s="18">
        <v>329</v>
      </c>
      <c r="I15" s="18">
        <f>G15+H15-C15-E15</f>
        <v>0</v>
      </c>
      <c r="J15" s="18">
        <f>C15-G15</f>
        <v>-331</v>
      </c>
      <c r="K15" s="18"/>
    </row>
    <row r="16" ht="20.05" customHeight="1">
      <c r="B16" s="29"/>
      <c r="C16" s="17">
        <v>79</v>
      </c>
      <c r="D16" s="18">
        <v>701</v>
      </c>
      <c r="E16" s="18">
        <f>D16-C16</f>
        <v>622</v>
      </c>
      <c r="F16" s="18">
        <f>2+94+32</f>
        <v>128</v>
      </c>
      <c r="G16" s="18">
        <v>385</v>
      </c>
      <c r="H16" s="18">
        <v>316</v>
      </c>
      <c r="I16" s="18">
        <f>G16+H16-C16-E16</f>
        <v>0</v>
      </c>
      <c r="J16" s="18">
        <f>C16-G16</f>
        <v>-306</v>
      </c>
      <c r="K16" s="18"/>
    </row>
    <row r="17" ht="20.05" customHeight="1">
      <c r="B17" s="30">
        <v>2019</v>
      </c>
      <c r="C17" s="17">
        <v>60</v>
      </c>
      <c r="D17" s="18">
        <v>707</v>
      </c>
      <c r="E17" s="18">
        <f>D17-C17</f>
        <v>647</v>
      </c>
      <c r="F17" s="18">
        <f>34+94+2</f>
        <v>130</v>
      </c>
      <c r="G17" s="18">
        <v>370</v>
      </c>
      <c r="H17" s="18">
        <v>337</v>
      </c>
      <c r="I17" s="18">
        <f>G17+H17-C17-E17</f>
        <v>0</v>
      </c>
      <c r="J17" s="18">
        <f>C17-G17</f>
        <v>-310</v>
      </c>
      <c r="K17" s="18"/>
    </row>
    <row r="18" ht="20.05" customHeight="1">
      <c r="B18" s="29"/>
      <c r="C18" s="17">
        <v>78</v>
      </c>
      <c r="D18" s="18">
        <v>702</v>
      </c>
      <c r="E18" s="18">
        <f>D18-C18</f>
        <v>624</v>
      </c>
      <c r="F18" s="18">
        <f>2+96+35</f>
        <v>133</v>
      </c>
      <c r="G18" s="18">
        <v>374</v>
      </c>
      <c r="H18" s="18">
        <v>328</v>
      </c>
      <c r="I18" s="18">
        <f>G18+H18-C18-E18</f>
        <v>0</v>
      </c>
      <c r="J18" s="18">
        <f>C18-G18</f>
        <v>-296</v>
      </c>
      <c r="K18" s="18"/>
    </row>
    <row r="19" ht="20.05" customHeight="1">
      <c r="B19" s="29"/>
      <c r="C19" s="17">
        <v>129</v>
      </c>
      <c r="D19" s="18">
        <v>773</v>
      </c>
      <c r="E19" s="18">
        <f>D19-C19</f>
        <v>644</v>
      </c>
      <c r="F19" s="18">
        <f>37+98+2</f>
        <v>137</v>
      </c>
      <c r="G19" s="18">
        <v>435</v>
      </c>
      <c r="H19" s="18">
        <v>338</v>
      </c>
      <c r="I19" s="18">
        <f>G19+H19-C19-E19</f>
        <v>0</v>
      </c>
      <c r="J19" s="18">
        <f>C19-G19</f>
        <v>-306</v>
      </c>
      <c r="K19" s="18"/>
    </row>
    <row r="20" ht="20.05" customHeight="1">
      <c r="B20" s="29"/>
      <c r="C20" s="17">
        <v>135</v>
      </c>
      <c r="D20" s="18">
        <v>781</v>
      </c>
      <c r="E20" s="18">
        <f>D20-C20</f>
        <v>646</v>
      </c>
      <c r="F20" s="18">
        <f>39+99+2</f>
        <v>140</v>
      </c>
      <c r="G20" s="18">
        <v>423</v>
      </c>
      <c r="H20" s="18">
        <v>358</v>
      </c>
      <c r="I20" s="18">
        <f>G20+H20-C20-E20</f>
        <v>0</v>
      </c>
      <c r="J20" s="18">
        <f>C20-G20</f>
        <v>-288</v>
      </c>
      <c r="K20" s="18"/>
    </row>
    <row r="21" ht="20.05" customHeight="1">
      <c r="B21" s="30">
        <v>2020</v>
      </c>
      <c r="C21" s="17">
        <v>152</v>
      </c>
      <c r="D21" s="18">
        <v>784</v>
      </c>
      <c r="E21" s="18">
        <f>D21-C21</f>
        <v>632</v>
      </c>
      <c r="F21" s="18">
        <f>41+100+2</f>
        <v>143</v>
      </c>
      <c r="G21" s="18">
        <v>391</v>
      </c>
      <c r="H21" s="18">
        <v>393</v>
      </c>
      <c r="I21" s="18">
        <f>G21+H21-C21-E21</f>
        <v>0</v>
      </c>
      <c r="J21" s="18">
        <f>C21-G21</f>
        <v>-239</v>
      </c>
      <c r="K21" s="18"/>
    </row>
    <row r="22" ht="20.05" customHeight="1">
      <c r="B22" s="29"/>
      <c r="C22" s="17">
        <v>152</v>
      </c>
      <c r="D22" s="18">
        <v>795</v>
      </c>
      <c r="E22" s="18">
        <f>D22-C22</f>
        <v>643</v>
      </c>
      <c r="F22" s="18">
        <f>44+101+2+1</f>
        <v>148</v>
      </c>
      <c r="G22" s="18">
        <v>383</v>
      </c>
      <c r="H22" s="18">
        <v>412</v>
      </c>
      <c r="I22" s="18">
        <f>G22+H22-C22-E22</f>
        <v>0</v>
      </c>
      <c r="J22" s="18">
        <f>C22-G22</f>
        <v>-231</v>
      </c>
      <c r="K22" s="18"/>
    </row>
    <row r="23" ht="20.05" customHeight="1">
      <c r="B23" s="29"/>
      <c r="C23" s="20">
        <v>155</v>
      </c>
      <c r="D23" s="21">
        <v>763</v>
      </c>
      <c r="E23" s="18">
        <f>D23-C23</f>
        <v>608</v>
      </c>
      <c r="F23" s="21">
        <f>1+2+103+46</f>
        <v>152</v>
      </c>
      <c r="G23" s="18">
        <v>394</v>
      </c>
      <c r="H23" s="18">
        <v>369</v>
      </c>
      <c r="I23" s="18">
        <f>G23+H23-C23-E23</f>
        <v>0</v>
      </c>
      <c r="J23" s="18">
        <f>C23-G23</f>
        <v>-239</v>
      </c>
      <c r="K23" s="18"/>
    </row>
    <row r="24" ht="20.05" customHeight="1">
      <c r="B24" s="29"/>
      <c r="C24" s="20">
        <v>203</v>
      </c>
      <c r="D24" s="21">
        <v>814</v>
      </c>
      <c r="E24" s="18">
        <f>D24-C24</f>
        <v>611</v>
      </c>
      <c r="F24" s="21">
        <f>2+49+2+104</f>
        <v>157</v>
      </c>
      <c r="G24" s="18">
        <v>464</v>
      </c>
      <c r="H24" s="18">
        <v>350</v>
      </c>
      <c r="I24" s="18">
        <f>G24+H24-C24-E24</f>
        <v>0</v>
      </c>
      <c r="J24" s="18">
        <f>C24-G24</f>
        <v>-261</v>
      </c>
      <c r="K24" s="21"/>
    </row>
    <row r="25" ht="20.05" customHeight="1">
      <c r="B25" s="30">
        <v>2021</v>
      </c>
      <c r="C25" s="17">
        <v>264</v>
      </c>
      <c r="D25" s="18">
        <v>890</v>
      </c>
      <c r="E25" s="18">
        <f>D25-C25</f>
        <v>626</v>
      </c>
      <c r="F25" s="18">
        <f>51+104+2+2</f>
        <v>159</v>
      </c>
      <c r="G25" s="18">
        <v>444</v>
      </c>
      <c r="H25" s="18">
        <v>446</v>
      </c>
      <c r="I25" s="18">
        <f>G25+H25-C25-E25</f>
        <v>0</v>
      </c>
      <c r="J25" s="18">
        <f>C25-G25</f>
        <v>-180</v>
      </c>
      <c r="K25" s="18"/>
    </row>
    <row r="26" ht="20.05" customHeight="1">
      <c r="B26" s="29"/>
      <c r="C26" s="17">
        <v>130</v>
      </c>
      <c r="D26" s="18">
        <v>776</v>
      </c>
      <c r="E26" s="18">
        <f>D26-C26</f>
        <v>646</v>
      </c>
      <c r="F26" s="18">
        <f>53+106+2+3</f>
        <v>164</v>
      </c>
      <c r="G26" s="18">
        <v>434</v>
      </c>
      <c r="H26" s="18">
        <v>342</v>
      </c>
      <c r="I26" s="18">
        <f>G26+H26-C26-E26</f>
        <v>0</v>
      </c>
      <c r="J26" s="18">
        <f>C26-G26</f>
        <v>-304</v>
      </c>
      <c r="K26" s="18"/>
    </row>
    <row r="27" ht="20.05" customHeight="1">
      <c r="B27" s="29"/>
      <c r="C27" s="17">
        <v>99</v>
      </c>
      <c r="D27" s="18">
        <v>719</v>
      </c>
      <c r="E27" s="18">
        <f>D27-C27</f>
        <v>620</v>
      </c>
      <c r="F27" s="18">
        <f>4+55+2+108</f>
        <v>169</v>
      </c>
      <c r="G27" s="18">
        <v>384</v>
      </c>
      <c r="H27" s="18">
        <v>335</v>
      </c>
      <c r="I27" s="18">
        <f>G27+H27-C27-E27</f>
        <v>0</v>
      </c>
      <c r="J27" s="18">
        <f>C27-G27</f>
        <v>-285</v>
      </c>
      <c r="K27" s="18"/>
    </row>
    <row r="28" ht="20.05" customHeight="1">
      <c r="B28" s="29"/>
      <c r="C28" s="17">
        <v>194</v>
      </c>
      <c r="D28" s="18">
        <v>829</v>
      </c>
      <c r="E28" s="18">
        <f>D28-C28</f>
        <v>635</v>
      </c>
      <c r="F28" s="18">
        <f>4+58+109+3</f>
        <v>174</v>
      </c>
      <c r="G28" s="18">
        <v>513</v>
      </c>
      <c r="H28" s="18">
        <v>316</v>
      </c>
      <c r="I28" s="18">
        <f>G28+H28-C28-E28</f>
        <v>0</v>
      </c>
      <c r="J28" s="18">
        <f>C28-G28</f>
        <v>-319</v>
      </c>
      <c r="K28" s="18">
        <f>J28</f>
        <v>-319</v>
      </c>
    </row>
    <row r="29" ht="20.05" customHeight="1">
      <c r="B29" s="30">
        <v>2022</v>
      </c>
      <c r="C29" s="17"/>
      <c r="D29" s="18"/>
      <c r="E29" s="18"/>
      <c r="F29" s="18"/>
      <c r="G29" s="18"/>
      <c r="H29" s="18"/>
      <c r="I29" s="18"/>
      <c r="J29" s="18"/>
      <c r="K29" s="18">
        <f>'Model'!F30</f>
        <v>137.240726635561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2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2.6719" style="36" customWidth="1"/>
    <col min="2" max="2" width="8.55469" style="36" customWidth="1"/>
    <col min="3" max="4" width="9.83594" style="36" customWidth="1"/>
    <col min="5" max="16384" width="16.3516" style="36" customWidth="1"/>
  </cols>
  <sheetData>
    <row r="1" ht="40" customHeight="1"/>
    <row r="2" ht="27.65" customHeight="1">
      <c r="B2" t="s" s="2">
        <v>55</v>
      </c>
      <c r="C2" s="2"/>
      <c r="D2" s="2"/>
    </row>
    <row r="3" ht="20.25" customHeight="1">
      <c r="B3" s="4"/>
      <c r="C3" t="s" s="37">
        <v>56</v>
      </c>
      <c r="D3" t="s" s="37">
        <v>57</v>
      </c>
    </row>
    <row r="4" ht="20.25" customHeight="1">
      <c r="B4" s="26">
        <v>2018</v>
      </c>
      <c r="C4" s="38">
        <v>2550</v>
      </c>
      <c r="D4" s="28"/>
    </row>
    <row r="5" ht="20.05" customHeight="1">
      <c r="B5" s="29"/>
      <c r="C5" s="39">
        <v>2550</v>
      </c>
      <c r="D5" s="18"/>
    </row>
    <row r="6" ht="20.05" customHeight="1">
      <c r="B6" s="29"/>
      <c r="C6" s="39">
        <v>2550</v>
      </c>
      <c r="D6" s="18"/>
    </row>
    <row r="7" ht="20.05" customHeight="1">
      <c r="B7" s="29"/>
      <c r="C7" s="39">
        <v>2550</v>
      </c>
      <c r="D7" s="18"/>
    </row>
    <row r="8" ht="20.05" customHeight="1">
      <c r="B8" s="30">
        <v>2019</v>
      </c>
      <c r="C8" s="39">
        <v>2550</v>
      </c>
      <c r="D8" s="18"/>
    </row>
    <row r="9" ht="20.05" customHeight="1">
      <c r="B9" s="29"/>
      <c r="C9" s="39">
        <v>2550</v>
      </c>
      <c r="D9" s="18"/>
    </row>
    <row r="10" ht="20.05" customHeight="1">
      <c r="B10" s="29"/>
      <c r="C10" s="39">
        <v>2550</v>
      </c>
      <c r="D10" s="31"/>
    </row>
    <row r="11" ht="20.05" customHeight="1">
      <c r="B11" s="29"/>
      <c r="C11" s="39">
        <v>2550</v>
      </c>
      <c r="D11" s="31"/>
    </row>
    <row r="12" ht="20.05" customHeight="1">
      <c r="B12" s="30">
        <v>2020</v>
      </c>
      <c r="C12" s="39">
        <v>2550</v>
      </c>
      <c r="D12" s="31"/>
    </row>
    <row r="13" ht="20.05" customHeight="1">
      <c r="B13" s="29"/>
      <c r="C13" s="39">
        <v>2550</v>
      </c>
      <c r="D13" s="31"/>
    </row>
    <row r="14" ht="20.05" customHeight="1">
      <c r="B14" s="29"/>
      <c r="C14" s="39">
        <v>2550</v>
      </c>
      <c r="D14" s="31"/>
    </row>
    <row r="15" ht="20.05" customHeight="1">
      <c r="B15" s="29"/>
      <c r="C15" s="17">
        <v>2550</v>
      </c>
      <c r="D15" s="31"/>
    </row>
    <row r="16" ht="20.05" customHeight="1">
      <c r="B16" s="30">
        <v>2021</v>
      </c>
      <c r="C16" s="17">
        <v>2550</v>
      </c>
      <c r="D16" s="31"/>
    </row>
    <row r="17" ht="20.05" customHeight="1">
      <c r="B17" s="29"/>
      <c r="C17" s="17">
        <v>3740</v>
      </c>
      <c r="D17" s="31"/>
    </row>
    <row r="18" ht="20.05" customHeight="1">
      <c r="B18" s="29"/>
      <c r="C18" s="17">
        <v>3890</v>
      </c>
      <c r="D18" s="31"/>
    </row>
    <row r="19" ht="20.05" customHeight="1">
      <c r="B19" s="29"/>
      <c r="C19" s="17">
        <v>7950</v>
      </c>
      <c r="D19" s="31"/>
    </row>
    <row r="20" ht="20.05" customHeight="1">
      <c r="B20" s="30">
        <v>2022</v>
      </c>
      <c r="C20" s="17">
        <v>4670</v>
      </c>
      <c r="D20" s="18">
        <f>C20</f>
        <v>4670</v>
      </c>
    </row>
    <row r="21" ht="20.05" customHeight="1">
      <c r="B21" s="29"/>
      <c r="C21" s="17"/>
      <c r="D21" s="18">
        <f>'Model'!F44</f>
        <v>8699.790399133961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11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0.4844" style="40" customWidth="1"/>
    <col min="2" max="5" width="9.35938" style="40" customWidth="1"/>
    <col min="6" max="16384" width="16.3516" style="40" customWidth="1"/>
  </cols>
  <sheetData>
    <row r="1" ht="27.65" customHeight="1">
      <c r="A1" t="s" s="2">
        <v>58</v>
      </c>
      <c r="B1" s="2"/>
      <c r="C1" s="2"/>
      <c r="D1" s="2"/>
      <c r="E1" s="2"/>
    </row>
    <row r="2" ht="20.25" customHeight="1">
      <c r="A2" s="41"/>
      <c r="B2" t="s" s="5">
        <v>59</v>
      </c>
      <c r="C2" t="s" s="5">
        <v>60</v>
      </c>
      <c r="D2" t="s" s="5">
        <v>11</v>
      </c>
      <c r="E2" t="s" s="5">
        <v>25</v>
      </c>
    </row>
    <row r="3" ht="20.25" customHeight="1">
      <c r="A3" s="26">
        <v>2017</v>
      </c>
      <c r="B3" s="42">
        <v>-6.6</v>
      </c>
      <c r="C3" s="33">
        <f>0.544-0.77</f>
        <v>-0.226</v>
      </c>
      <c r="D3" s="33">
        <f>-18.677-C3-B3</f>
        <v>-11.851</v>
      </c>
      <c r="E3" s="33"/>
    </row>
    <row r="4" ht="20.05" customHeight="1">
      <c r="A4" s="30">
        <v>2018</v>
      </c>
      <c r="B4" s="15">
        <v>-18.492</v>
      </c>
      <c r="C4" s="16">
        <v>-0.845</v>
      </c>
      <c r="D4" s="16">
        <f>41.689-B4-C4-E4</f>
        <v>-30.664</v>
      </c>
      <c r="E4" s="16">
        <v>91.69</v>
      </c>
    </row>
    <row r="5" ht="20.05" customHeight="1">
      <c r="A5" s="30">
        <v>2019</v>
      </c>
      <c r="B5" s="15"/>
      <c r="C5" s="16"/>
      <c r="D5" s="16"/>
      <c r="E5" s="16"/>
    </row>
    <row r="6" ht="20.05" customHeight="1">
      <c r="A6" s="30">
        <v>2020</v>
      </c>
      <c r="B6" s="15"/>
      <c r="C6" s="16"/>
      <c r="D6" s="16"/>
      <c r="E6" s="16"/>
    </row>
    <row r="7" ht="20.05" customHeight="1">
      <c r="A7" s="30">
        <v>2021</v>
      </c>
      <c r="B7" s="15"/>
      <c r="C7" s="16"/>
      <c r="D7" s="16"/>
      <c r="E7" s="16"/>
    </row>
    <row r="8" ht="20.05" customHeight="1">
      <c r="A8" s="29"/>
      <c r="B8" s="15"/>
      <c r="C8" s="16"/>
      <c r="D8" s="16"/>
      <c r="E8" s="16"/>
    </row>
    <row r="9" ht="20.05" customHeight="1">
      <c r="A9" s="29"/>
      <c r="B9" s="15"/>
      <c r="C9" s="16"/>
      <c r="D9" s="16"/>
      <c r="E9" s="16"/>
    </row>
    <row r="10" ht="20.05" customHeight="1">
      <c r="A10" s="29"/>
      <c r="B10" s="15"/>
      <c r="C10" s="16"/>
      <c r="D10" s="16"/>
      <c r="E10" s="16"/>
    </row>
    <row r="11" ht="20.05" customHeight="1">
      <c r="A11" s="29"/>
      <c r="B11" s="15"/>
      <c r="C11" s="16"/>
      <c r="D11" s="16"/>
      <c r="E11" s="16"/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