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<sst xmlns="http://schemas.openxmlformats.org/spreadsheetml/2006/main" uniqueCount="59">
  <si>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</si>
  <si>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</si>
  <si>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</si>
  <si>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</si>
  <si>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</si>
  <si>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</si>
  <si>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</si>
  <si>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</si>
  <si>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 xml:space="preserve">Operating </t>
  </si>
  <si>
    <t xml:space="preserve">Investment </t>
  </si>
  <si>
    <t>Leases</t>
  </si>
  <si>
    <t xml:space="preserve">Finance </t>
  </si>
  <si>
    <t xml:space="preserve">Liabilities </t>
  </si>
  <si>
    <t xml:space="preserve">Equity </t>
  </si>
  <si>
    <t xml:space="preserve">Before revolver </t>
  </si>
  <si>
    <t xml:space="preserve">Revolver </t>
  </si>
  <si>
    <t>Beginning</t>
  </si>
  <si>
    <t xml:space="preserve">Change </t>
  </si>
  <si>
    <t xml:space="preserve">Ending </t>
  </si>
  <si>
    <t xml:space="preserve">Profit </t>
  </si>
  <si>
    <t xml:space="preserve">Non cash costs </t>
  </si>
  <si>
    <t xml:space="preserve">Net profit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</si>
  <si>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</si>
  <si>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</si>
  <si>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</si>
  <si>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</si>
  <si>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</si>
  <si>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</si>
  <si>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</si>
  <si>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</si>
  <si>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</si>
  <si>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</si>
  <si>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</si>
  <si>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</si>
  <si>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</si>
  <si>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</si>
  <si>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</si>
  <si>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</si>
  <si>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</si>
  <si>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</si>
  <si>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</si>
  <si>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</si>
  <si>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>FX gain</t>
  </si>
  <si>
    <t xml:space="preserve">Sales growth </t>
  </si>
  <si>
    <t xml:space="preserve">Cost ratio </t>
  </si>
  <si>
    <t>Cashflow costs</t>
  </si>
  <si>
    <t xml:space="preserve">Receipts </t>
  </si>
  <si>
    <t>Finance</t>
  </si>
  <si>
    <t xml:space="preserve">Free cashflow </t>
  </si>
  <si>
    <t>Balance sheet</t>
  </si>
  <si>
    <t xml:space="preserve">  Cash</t>
  </si>
  <si>
    <t>Assetd</t>
  </si>
  <si>
    <t>Other asset</t>
  </si>
  <si>
    <t xml:space="preserve">Check </t>
  </si>
  <si>
    <t>Share price</t>
  </si>
  <si>
    <t>Date</t>
  </si>
  <si>
    <t>FREN</t>
  </si>
  <si>
    <t>Capital</t>
  </si>
  <si>
    <t xml:space="preserve">Total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</si>
</sst>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horizontal="left" vertical="center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horizontal="left" vertical="center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horizontal="right" vertical="center"/>
    </xf>
    <xf numFmtId="3" fontId="0" borderId="7" applyNumberFormat="1" applyFont="1" applyFill="0" applyBorder="1" applyAlignment="1" applyProtection="0">
      <alignment horizontal="right" vertical="center"/>
    </xf>
    <xf numFmtId="49" fontId="2" fillId="3" borderId="5" applyNumberFormat="1" applyFont="1" applyFill="1" applyBorder="1" applyAlignment="1" applyProtection="0">
      <alignment horizontal="left" vertical="center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0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0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247081</xdr:colOff>
      <xdr:row>3</xdr:row>
      <xdr:rowOff>5068</xdr:rowOff>
    </xdr:from>
    <xdr:to>
      <xdr:col>13</xdr:col>
      <xdr:colOff>755743</xdr:colOff>
      <xdr:row>47</xdr:row>
      <xdr:rowOff>174324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06381" y="1265543"/>
          <a:ext cx="9220863" cy="1137573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7578" style="1" customWidth="1"/>
    <col min="2" max="2" width="14.9766" style="1" customWidth="1"/>
    <col min="3" max="6" width="8.54688" style="1" customWidth="1"/>
    <col min="7" max="16384" width="16.3516" style="1" customWidth="1"/>
  </cols>
  <sheetData>
    <row r="1" ht="51.3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5"/>
      <c r="E3" s="4"/>
      <c r="F3" t="s" s="6">
        <v>2</v>
      </c>
    </row>
    <row r="4" ht="20.25" customHeight="1">
      <c r="B4" t="s" s="7">
        <v>3</v>
      </c>
      <c r="C4" s="8">
        <f>AVERAGE('Sales'!H28:H31)</f>
        <v>0.0250868864351583</v>
      </c>
      <c r="D4" s="9"/>
      <c r="E4" s="9"/>
      <c r="F4" s="10">
        <f>AVERAGE(C5:F5)</f>
        <v>0.0425</v>
      </c>
    </row>
    <row r="5" ht="20.05" customHeight="1">
      <c r="B5" t="s" s="11">
        <v>4</v>
      </c>
      <c r="C5" s="12">
        <v>0</v>
      </c>
      <c r="D5" s="13">
        <v>0.06</v>
      </c>
      <c r="E5" s="13">
        <v>0.06</v>
      </c>
      <c r="F5" s="13">
        <v>0.05</v>
      </c>
    </row>
    <row r="6" ht="20.05" customHeight="1">
      <c r="B6" t="s" s="11">
        <v>5</v>
      </c>
      <c r="C6" s="14">
        <f>'Sales'!C31*(1+C5)</f>
        <v>2815</v>
      </c>
      <c r="D6" s="15">
        <f>C6*(1+D5)</f>
        <v>2983.9</v>
      </c>
      <c r="E6" s="15">
        <f>D6*(1+E5)</f>
        <v>3162.934</v>
      </c>
      <c r="F6" s="15">
        <f>E6*(1+F5)</f>
        <v>3321.0807</v>
      </c>
    </row>
    <row r="7" ht="20.05" customHeight="1">
      <c r="B7" t="s" s="11">
        <v>6</v>
      </c>
      <c r="C7" s="16">
        <f>AVERAGE('Sales'!I31)</f>
        <v>-0.670532859680284</v>
      </c>
      <c r="D7" s="17">
        <f>C7</f>
        <v>-0.670532859680284</v>
      </c>
      <c r="E7" s="17">
        <f>D7</f>
        <v>-0.670532859680284</v>
      </c>
      <c r="F7" s="17">
        <f>E7</f>
        <v>-0.670532859680284</v>
      </c>
    </row>
    <row r="8" ht="20.05" customHeight="1">
      <c r="B8" t="s" s="11">
        <v>7</v>
      </c>
      <c r="C8" s="18">
        <f>C6*C7</f>
        <v>-1887.55</v>
      </c>
      <c r="D8" s="19">
        <f>D6*D7</f>
        <v>-2000.803</v>
      </c>
      <c r="E8" s="19">
        <f>E6*E7</f>
        <v>-2120.85118</v>
      </c>
      <c r="F8" s="19">
        <f>F6*F7</f>
        <v>-2226.893739</v>
      </c>
    </row>
    <row r="9" ht="20.05" customHeight="1">
      <c r="B9" t="s" s="11">
        <v>8</v>
      </c>
      <c r="C9" s="20">
        <f>C6+C8</f>
        <v>927.45</v>
      </c>
      <c r="D9" s="21">
        <f>D6+D8</f>
        <v>983.097</v>
      </c>
      <c r="E9" s="21">
        <f>E6+E8</f>
        <v>1042.08282</v>
      </c>
      <c r="F9" s="21">
        <f>F6+F8</f>
        <v>1094.186961</v>
      </c>
    </row>
    <row r="10" ht="20.05" customHeight="1">
      <c r="B10" t="s" s="11">
        <v>9</v>
      </c>
      <c r="C10" s="18">
        <f>AVERAGE('Cashflow'!D30:D31)</f>
        <v>-482.5</v>
      </c>
      <c r="D10" s="21">
        <f>C10</f>
        <v>-482.5</v>
      </c>
      <c r="E10" s="21">
        <f>D10</f>
        <v>-482.5</v>
      </c>
      <c r="F10" s="21">
        <f>E10</f>
        <v>-482.5</v>
      </c>
    </row>
    <row r="11" ht="20.05" customHeight="1">
      <c r="B11" t="s" s="11">
        <v>10</v>
      </c>
      <c r="C11" s="20">
        <f>AVERAGE('Cashflow'!E28:E31)</f>
        <v>-410.5</v>
      </c>
      <c r="D11" s="21">
        <f>C11</f>
        <v>-410.5</v>
      </c>
      <c r="E11" s="21">
        <f>D11</f>
        <v>-410.5</v>
      </c>
      <c r="F11" s="21">
        <f>E11</f>
        <v>-410.5</v>
      </c>
    </row>
    <row r="12" ht="20.05" customHeight="1">
      <c r="B12" t="s" s="11">
        <v>11</v>
      </c>
      <c r="C12" s="20">
        <f>C13+C14+C16</f>
        <v>-34.45</v>
      </c>
      <c r="D12" s="21">
        <f>D13+D14+D16</f>
        <v>-90.09699999999999</v>
      </c>
      <c r="E12" s="21">
        <f>E13+E14+E16</f>
        <v>-149.08282</v>
      </c>
      <c r="F12" s="21">
        <f>F13+F14+F16</f>
        <v>-201.186961</v>
      </c>
    </row>
    <row r="13" ht="20.05" customHeight="1">
      <c r="B13" t="s" s="11">
        <v>12</v>
      </c>
      <c r="C13" s="20">
        <f>-('Balance Sheet '!G31)/20</f>
        <v>-1535.2</v>
      </c>
      <c r="D13" s="21">
        <f>-C27/20</f>
        <v>-1437.915</v>
      </c>
      <c r="E13" s="21">
        <f>-D27/20</f>
        <v>-1345.49425</v>
      </c>
      <c r="F13" s="21">
        <f>-E27/20</f>
        <v>-1257.6945375</v>
      </c>
    </row>
    <row r="14" ht="20.05" customHeight="1">
      <c r="B14" t="s" s="11">
        <v>13</v>
      </c>
      <c r="C14" s="18">
        <f>IF(C22&gt;0,-C22*0.2,0)</f>
        <v>0</v>
      </c>
      <c r="D14" s="19">
        <f>IF(D22&gt;0,-D22*0.2,0)</f>
        <v>-3.9694</v>
      </c>
      <c r="E14" s="19">
        <f>IF(E22&gt;0,-E22*0.2,0)</f>
        <v>-15.766564</v>
      </c>
      <c r="F14" s="19">
        <f>IF(F22&gt;0,-F22*0.2,0)</f>
        <v>-26.1873922</v>
      </c>
    </row>
    <row r="15" ht="20.05" customHeight="1">
      <c r="B15" t="s" s="11">
        <v>14</v>
      </c>
      <c r="C15" s="20">
        <f>C9+C10+C13+C14+C11</f>
        <v>-1500.75</v>
      </c>
      <c r="D15" s="21">
        <f>D9+D10+D13+D14+D11</f>
        <v>-1351.7874</v>
      </c>
      <c r="E15" s="21">
        <f>E9+E10+E13+E14+E11</f>
        <v>-1212.177994</v>
      </c>
      <c r="F15" s="21">
        <f>F9+F10+F13+F14+F11</f>
        <v>-1082.6949687</v>
      </c>
    </row>
    <row r="16" ht="20.05" customHeight="1">
      <c r="B16" t="s" s="11">
        <v>15</v>
      </c>
      <c r="C16" s="20">
        <f>-MIN(0,C15)</f>
        <v>1500.75</v>
      </c>
      <c r="D16" s="21">
        <f>-MIN(C28,D15)</f>
        <v>1351.7874</v>
      </c>
      <c r="E16" s="21">
        <f>-MIN(D28,E15)</f>
        <v>1212.177994</v>
      </c>
      <c r="F16" s="21">
        <f>-MIN(E28,F15)</f>
        <v>1082.6949687</v>
      </c>
    </row>
    <row r="17" ht="20.05" customHeight="1">
      <c r="B17" t="s" s="11">
        <v>16</v>
      </c>
      <c r="C17" s="20">
        <f>'Balance Sheet '!C31</f>
        <v>463</v>
      </c>
      <c r="D17" s="21">
        <f>C19</f>
        <v>463</v>
      </c>
      <c r="E17" s="21">
        <f>D19</f>
        <v>463</v>
      </c>
      <c r="F17" s="21">
        <f>E19</f>
        <v>463</v>
      </c>
    </row>
    <row r="18" ht="20.05" customHeight="1">
      <c r="B18" t="s" s="11">
        <v>17</v>
      </c>
      <c r="C18" s="20">
        <f>C9+C10+C11+C12</f>
        <v>0</v>
      </c>
      <c r="D18" s="21">
        <f>D9+D10+D11+D12</f>
        <v>0</v>
      </c>
      <c r="E18" s="21">
        <f>E9+E10+E11+E12</f>
        <v>0</v>
      </c>
      <c r="F18" s="21">
        <f>F9+F10+F11+F12</f>
        <v>0</v>
      </c>
    </row>
    <row r="19" ht="20.05" customHeight="1">
      <c r="B19" t="s" s="11">
        <v>18</v>
      </c>
      <c r="C19" s="20">
        <f>C17+C18</f>
        <v>463</v>
      </c>
      <c r="D19" s="21">
        <f>D17+D18</f>
        <v>463</v>
      </c>
      <c r="E19" s="21">
        <f>E17+E18</f>
        <v>463</v>
      </c>
      <c r="F19" s="21">
        <f>F17+F18</f>
        <v>463</v>
      </c>
    </row>
    <row r="20" ht="20.05" customHeight="1">
      <c r="B20" t="s" s="22">
        <v>19</v>
      </c>
      <c r="C20" s="23"/>
      <c r="D20" s="24"/>
      <c r="E20" s="24"/>
      <c r="F20" s="25"/>
    </row>
    <row r="21" ht="20.05" customHeight="1">
      <c r="B21" t="s" s="11">
        <v>20</v>
      </c>
      <c r="C21" s="20">
        <f>-AVERAGE('Sales'!E31)</f>
        <v>-963.25</v>
      </c>
      <c r="D21" s="21">
        <f>C21</f>
        <v>-963.25</v>
      </c>
      <c r="E21" s="21">
        <f>D21</f>
        <v>-963.25</v>
      </c>
      <c r="F21" s="21">
        <f>E21</f>
        <v>-963.25</v>
      </c>
    </row>
    <row r="22" ht="20.05" customHeight="1">
      <c r="B22" t="s" s="11">
        <v>21</v>
      </c>
      <c r="C22" s="18">
        <f>C6+C8+C21</f>
        <v>-35.8</v>
      </c>
      <c r="D22" s="19">
        <f>D6+D8+D21</f>
        <v>19.847</v>
      </c>
      <c r="E22" s="19">
        <f>E6+E8+E21</f>
        <v>78.83282</v>
      </c>
      <c r="F22" s="19">
        <f>F6+F8+F21</f>
        <v>130.936961</v>
      </c>
    </row>
    <row r="23" ht="20.05" customHeight="1">
      <c r="B23" t="s" s="22">
        <v>22</v>
      </c>
      <c r="C23" s="23"/>
      <c r="D23" s="24"/>
      <c r="E23" s="24"/>
      <c r="F23" s="24"/>
    </row>
    <row r="24" ht="20.05" customHeight="1">
      <c r="B24" t="s" s="11">
        <v>23</v>
      </c>
      <c r="C24" s="20">
        <f>'Balance Sheet '!E31+'Balance Sheet '!F31-C10</f>
        <v>67633.75</v>
      </c>
      <c r="D24" s="21">
        <f>C24-D10</f>
        <v>68116.25</v>
      </c>
      <c r="E24" s="21">
        <f>D24-E10</f>
        <v>68598.75</v>
      </c>
      <c r="F24" s="21">
        <f>E24-F10</f>
        <v>69081.25</v>
      </c>
    </row>
    <row r="25" ht="20.05" customHeight="1">
      <c r="B25" t="s" s="11">
        <v>24</v>
      </c>
      <c r="C25" s="20">
        <f>'Balance Sheet '!F31-C21</f>
        <v>25219.5</v>
      </c>
      <c r="D25" s="21">
        <f>C25-D21</f>
        <v>26182.75</v>
      </c>
      <c r="E25" s="21">
        <f>D25-E21</f>
        <v>27146</v>
      </c>
      <c r="F25" s="21">
        <f>E25-F21</f>
        <v>28109.25</v>
      </c>
    </row>
    <row r="26" ht="20.05" customHeight="1">
      <c r="B26" t="s" s="11">
        <v>25</v>
      </c>
      <c r="C26" s="20">
        <f>C24-C25</f>
        <v>42414.25</v>
      </c>
      <c r="D26" s="21">
        <f>D24-D25</f>
        <v>41933.5</v>
      </c>
      <c r="E26" s="21">
        <f>E24-E25</f>
        <v>41452.75</v>
      </c>
      <c r="F26" s="21">
        <f>F24-F25</f>
        <v>40972</v>
      </c>
    </row>
    <row r="27" ht="20.05" customHeight="1">
      <c r="B27" t="s" s="11">
        <v>12</v>
      </c>
      <c r="C27" s="20">
        <f>'Balance Sheet '!G31+C13+C11</f>
        <v>28758.3</v>
      </c>
      <c r="D27" s="21">
        <f>C27+D13+D11</f>
        <v>26909.885</v>
      </c>
      <c r="E27" s="21">
        <f>D27+E13+E11</f>
        <v>25153.89075</v>
      </c>
      <c r="F27" s="21">
        <f>E27+F13+F11</f>
        <v>23485.6962125</v>
      </c>
    </row>
    <row r="28" ht="20.05" customHeight="1">
      <c r="B28" t="s" s="11">
        <v>15</v>
      </c>
      <c r="C28" s="20">
        <f>C16</f>
        <v>1500.75</v>
      </c>
      <c r="D28" s="21">
        <f>C28+D16</f>
        <v>2852.5374</v>
      </c>
      <c r="E28" s="21">
        <f>D28+E16</f>
        <v>4064.715394</v>
      </c>
      <c r="F28" s="21">
        <f>E28+F16</f>
        <v>5147.4103627</v>
      </c>
    </row>
    <row r="29" ht="20.05" customHeight="1">
      <c r="B29" t="s" s="11">
        <v>13</v>
      </c>
      <c r="C29" s="20">
        <f>'Balance Sheet '!H31+C22+C14</f>
        <v>12618.2</v>
      </c>
      <c r="D29" s="21">
        <f>C29+D22+D14</f>
        <v>12634.0776</v>
      </c>
      <c r="E29" s="21">
        <f>D29+E22+E14</f>
        <v>12697.143856</v>
      </c>
      <c r="F29" s="21">
        <f>E29+F22+F14</f>
        <v>12801.8934248</v>
      </c>
    </row>
    <row r="30" ht="20.05" customHeight="1">
      <c r="B30" t="s" s="11">
        <v>26</v>
      </c>
      <c r="C30" s="18">
        <f>C27+C28+C29-C19-C26</f>
        <v>0</v>
      </c>
      <c r="D30" s="19">
        <f>D27+D28+D29-D19-D26</f>
        <v>0</v>
      </c>
      <c r="E30" s="19">
        <f>E27+E28+E29-E19-E26</f>
        <v>0</v>
      </c>
      <c r="F30" s="19">
        <f>F27+F28+F29-F19-F26</f>
        <v>0</v>
      </c>
    </row>
    <row r="31" ht="20.05" customHeight="1">
      <c r="B31" t="s" s="11">
        <v>27</v>
      </c>
      <c r="C31" s="18">
        <f>C19-C27-C28</f>
        <v>-29796.05</v>
      </c>
      <c r="D31" s="19">
        <f>D19-D27-D28</f>
        <v>-29299.4224</v>
      </c>
      <c r="E31" s="19">
        <f>E19-E27-E28</f>
        <v>-28755.606144</v>
      </c>
      <c r="F31" s="19">
        <f>F19-F27-F28</f>
        <v>-28170.1065752</v>
      </c>
    </row>
    <row r="32" ht="20.05" customHeight="1">
      <c r="B32" t="s" s="22">
        <v>28</v>
      </c>
      <c r="C32" s="18"/>
      <c r="D32" s="19"/>
      <c r="E32" s="19"/>
      <c r="F32" s="19"/>
    </row>
    <row r="33" ht="20.05" customHeight="1">
      <c r="B33" t="s" s="11">
        <v>29</v>
      </c>
      <c r="C33" s="18">
        <f>'Cashflow'!L31-(C12-C11)</f>
        <v>-24556.15</v>
      </c>
      <c r="D33" s="19">
        <f>C33-(D12-D11)</f>
        <v>-24876.553</v>
      </c>
      <c r="E33" s="19">
        <f>D33-(E12-E11)</f>
        <v>-25137.97018</v>
      </c>
      <c r="F33" s="19">
        <f>E33-(F12-F11)</f>
        <v>-25347.283219</v>
      </c>
    </row>
    <row r="34" ht="20.05" customHeight="1">
      <c r="B34" t="s" s="11">
        <v>30</v>
      </c>
      <c r="C34" s="18"/>
      <c r="D34" s="19"/>
      <c r="E34" s="19"/>
      <c r="F34" s="19">
        <v>24954399129600</v>
      </c>
    </row>
    <row r="35" ht="20.05" customHeight="1">
      <c r="B35" t="s" s="11">
        <v>30</v>
      </c>
      <c r="C35" s="18"/>
      <c r="D35" s="19"/>
      <c r="E35" s="19"/>
      <c r="F35" s="19">
        <f>F34/1000000000</f>
        <v>24954.3991296</v>
      </c>
    </row>
    <row r="36" ht="20.05" customHeight="1">
      <c r="B36" t="s" s="11">
        <v>31</v>
      </c>
      <c r="C36" s="18"/>
      <c r="D36" s="19"/>
      <c r="E36" s="19"/>
      <c r="F36" s="26">
        <f>F35/(F19+F26)</f>
        <v>0.60225411197297</v>
      </c>
    </row>
    <row r="37" ht="20.05" customHeight="1">
      <c r="B37" t="s" s="11">
        <v>32</v>
      </c>
      <c r="C37" s="18"/>
      <c r="D37" s="19"/>
      <c r="E37" s="19"/>
      <c r="F37" s="17">
        <f>-(C14+D14+E14+F14)/F35</f>
        <v>0.00184029100286079</v>
      </c>
    </row>
    <row r="38" ht="20.05" customHeight="1">
      <c r="B38" t="s" s="11">
        <v>3</v>
      </c>
      <c r="C38" s="18"/>
      <c r="D38" s="19"/>
      <c r="E38" s="19"/>
      <c r="F38" s="19">
        <f>SUM(F9:F11)*4</f>
        <v>804.747844</v>
      </c>
    </row>
    <row r="39" ht="20.05" customHeight="1">
      <c r="B39" t="s" s="11">
        <v>33</v>
      </c>
      <c r="C39" s="18"/>
      <c r="D39" s="19"/>
      <c r="E39" s="19"/>
      <c r="F39" s="19">
        <f>'Balance Sheet '!E31/F38</f>
        <v>53.3024105871354</v>
      </c>
    </row>
    <row r="40" ht="20.05" customHeight="1">
      <c r="B40" t="s" s="11">
        <v>28</v>
      </c>
      <c r="C40" s="18"/>
      <c r="D40" s="19"/>
      <c r="E40" s="19"/>
      <c r="F40" s="19">
        <f>F35/F38</f>
        <v>31.0089667411398</v>
      </c>
    </row>
    <row r="41" ht="20.05" customHeight="1">
      <c r="B41" t="s" s="11">
        <v>34</v>
      </c>
      <c r="C41" s="18"/>
      <c r="D41" s="19"/>
      <c r="E41" s="19"/>
      <c r="F41" s="19">
        <v>35</v>
      </c>
    </row>
    <row r="42" ht="20.05" customHeight="1">
      <c r="B42" t="s" s="11">
        <v>35</v>
      </c>
      <c r="C42" s="18"/>
      <c r="D42" s="19"/>
      <c r="E42" s="19"/>
      <c r="F42" s="19">
        <f>F38*F41</f>
        <v>28166.17454</v>
      </c>
    </row>
    <row r="43" ht="20.05" customHeight="1">
      <c r="B43" t="s" s="11">
        <v>36</v>
      </c>
      <c r="C43" s="18"/>
      <c r="D43" s="19"/>
      <c r="E43" s="19"/>
      <c r="F43" s="19">
        <f>F35/F45</f>
        <v>308.0790016</v>
      </c>
    </row>
    <row r="44" ht="20.05" customHeight="1">
      <c r="B44" t="s" s="11">
        <v>37</v>
      </c>
      <c r="C44" s="18"/>
      <c r="D44" s="19"/>
      <c r="E44" s="19"/>
      <c r="F44" s="19">
        <f>F42/F43</f>
        <v>91.4251681994545</v>
      </c>
    </row>
    <row r="45" ht="20.05" customHeight="1">
      <c r="B45" t="s" s="11">
        <v>38</v>
      </c>
      <c r="C45" s="18"/>
      <c r="D45" s="19"/>
      <c r="E45" s="19"/>
      <c r="F45" s="19">
        <v>81</v>
      </c>
    </row>
    <row r="46" ht="20.05" customHeight="1">
      <c r="B46" t="s" s="11">
        <v>39</v>
      </c>
      <c r="C46" s="18"/>
      <c r="D46" s="19"/>
      <c r="E46" s="19"/>
      <c r="F46" s="17">
        <f>F44/F45-1</f>
        <v>0.128705780240179</v>
      </c>
    </row>
    <row r="47" ht="20.05" customHeight="1">
      <c r="B47" t="s" s="11">
        <v>40</v>
      </c>
      <c r="C47" s="18"/>
      <c r="D47" s="19"/>
      <c r="E47" s="19"/>
      <c r="F47" s="17">
        <f>'Sales'!C31/'Sales'!C27-1</f>
        <v>0.098772419446125</v>
      </c>
    </row>
    <row r="48" ht="20.05" customHeight="1">
      <c r="B48" t="s" s="11">
        <v>41</v>
      </c>
      <c r="C48" s="18"/>
      <c r="D48" s="19"/>
      <c r="E48" s="19"/>
      <c r="F48" s="17">
        <f>('Sales'!D24+'Sales'!D31+'Sales'!D30+'Sales'!D25+'Sales'!D26+'Sales'!D27+'Sales'!D28+'Sales'!D29)/('Sales'!C24+'Sales'!C25+'Sales'!C26+'Sales'!C27+'Sales'!C28+'Sales'!C30+'Sales'!C31+'Sales'!C29)-1</f>
        <v>0.0235856712090169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L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34375" style="27" customWidth="1"/>
    <col min="2" max="2" width="9.39062" style="27" customWidth="1"/>
    <col min="3" max="12" width="10.5547" style="27" customWidth="1"/>
    <col min="13" max="16384" width="16.3516" style="27" customWidth="1"/>
  </cols>
  <sheetData>
    <row r="1" ht="37.4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ht="32.25" customHeight="1">
      <c r="B3" t="s" s="6">
        <v>1</v>
      </c>
      <c r="C3" t="s" s="6">
        <v>5</v>
      </c>
      <c r="D3" t="s" s="6">
        <v>34</v>
      </c>
      <c r="E3" t="s" s="6">
        <v>24</v>
      </c>
      <c r="F3" t="s" s="6">
        <v>42</v>
      </c>
      <c r="G3" t="s" s="6">
        <v>19</v>
      </c>
      <c r="H3" t="s" s="6">
        <v>43</v>
      </c>
      <c r="I3" t="s" s="6">
        <v>44</v>
      </c>
      <c r="J3" t="s" s="6">
        <v>44</v>
      </c>
      <c r="K3" t="s" s="6">
        <v>34</v>
      </c>
      <c r="L3" t="s" s="6">
        <v>45</v>
      </c>
    </row>
    <row r="4" ht="20.25" customHeight="1">
      <c r="B4" s="28">
        <v>2015</v>
      </c>
      <c r="C4" s="29">
        <v>748</v>
      </c>
      <c r="D4" s="30"/>
      <c r="E4" s="31">
        <v>326</v>
      </c>
      <c r="F4" s="31"/>
      <c r="G4" s="31">
        <v>-551</v>
      </c>
      <c r="H4" s="10"/>
      <c r="I4" s="32">
        <f>(E4+G4-F4-C4)/C4</f>
        <v>-1.30080213903743</v>
      </c>
      <c r="J4" s="32"/>
      <c r="K4" s="32"/>
      <c r="L4" s="32">
        <f>('Cashflow'!C4-'Cashflow'!B4)/'Cashflow'!B4</f>
        <v>-0.904320987654321</v>
      </c>
    </row>
    <row r="5" ht="20.05" customHeight="1">
      <c r="B5" s="33"/>
      <c r="C5" s="18">
        <v>771</v>
      </c>
      <c r="D5" s="24"/>
      <c r="E5" s="19">
        <v>323</v>
      </c>
      <c r="F5" s="19"/>
      <c r="G5" s="19">
        <v>-265</v>
      </c>
      <c r="H5" s="17">
        <f>C5/C4-1</f>
        <v>0.0307486631016043</v>
      </c>
      <c r="I5" s="17">
        <f>(E5+G5-F5-C5)/C5</f>
        <v>-0.924773022049287</v>
      </c>
      <c r="J5" s="17"/>
      <c r="K5" s="17"/>
      <c r="L5" s="17">
        <f>('Cashflow'!C5-'Cashflow'!B5)/'Cashflow'!B5</f>
        <v>-1.34965719882468</v>
      </c>
    </row>
    <row r="6" ht="20.05" customHeight="1">
      <c r="B6" s="33"/>
      <c r="C6" s="18">
        <v>755</v>
      </c>
      <c r="D6" s="24"/>
      <c r="E6" s="19">
        <v>331</v>
      </c>
      <c r="F6" s="19"/>
      <c r="G6" s="19">
        <v>-525</v>
      </c>
      <c r="H6" s="17">
        <f>C6/C5-1</f>
        <v>-0.0207522697795071</v>
      </c>
      <c r="I6" s="17">
        <f>(E6+G6-F6-C6)/C6</f>
        <v>-1.25695364238411</v>
      </c>
      <c r="J6" s="17"/>
      <c r="K6" s="17"/>
      <c r="L6" s="17">
        <f>('Cashflow'!C6-'Cashflow'!B6)/'Cashflow'!B6</f>
        <v>-0.9101796407185631</v>
      </c>
    </row>
    <row r="7" ht="20.05" customHeight="1">
      <c r="B7" s="33"/>
      <c r="C7" s="18">
        <v>752</v>
      </c>
      <c r="D7" s="24"/>
      <c r="E7" s="19">
        <v>560</v>
      </c>
      <c r="F7" s="19"/>
      <c r="G7" s="19">
        <v>-224</v>
      </c>
      <c r="H7" s="17">
        <f>C7/C6-1</f>
        <v>-0.00397350993377483</v>
      </c>
      <c r="I7" s="17">
        <f>(E7+G7-F7-C7)/C7</f>
        <v>-0.553191489361702</v>
      </c>
      <c r="J7" s="17"/>
      <c r="K7" s="17"/>
      <c r="L7" s="17">
        <f>('Cashflow'!C7-'Cashflow'!B7)/'Cashflow'!B7</f>
        <v>-2.39949537426409</v>
      </c>
    </row>
    <row r="8" ht="20.05" customHeight="1">
      <c r="B8" s="34">
        <v>2016</v>
      </c>
      <c r="C8" s="18">
        <v>752</v>
      </c>
      <c r="D8" s="24"/>
      <c r="E8" s="19">
        <v>533</v>
      </c>
      <c r="F8" s="19">
        <v>251</v>
      </c>
      <c r="G8" s="19">
        <v>-266</v>
      </c>
      <c r="H8" s="17">
        <f>C8/C7-1</f>
        <v>0</v>
      </c>
      <c r="I8" s="17">
        <f>(E8+G8-F8-C8)/C8</f>
        <v>-0.978723404255319</v>
      </c>
      <c r="J8" s="17">
        <f>AVERAGE(I5:I8)</f>
        <v>-0.928410389512605</v>
      </c>
      <c r="K8" s="17"/>
      <c r="L8" s="17">
        <f>('Cashflow'!C8-'Cashflow'!B8)/'Cashflow'!B8</f>
        <v>-1.14879649890591</v>
      </c>
    </row>
    <row r="9" ht="20.05" customHeight="1">
      <c r="B9" s="33"/>
      <c r="C9" s="18">
        <v>831</v>
      </c>
      <c r="D9" s="24"/>
      <c r="E9" s="19">
        <v>542</v>
      </c>
      <c r="F9" s="19">
        <v>135</v>
      </c>
      <c r="G9" s="19">
        <v>-402</v>
      </c>
      <c r="H9" s="17">
        <f>C9/C8-1</f>
        <v>0.105053191489362</v>
      </c>
      <c r="I9" s="17">
        <f>(E9+G9-F9-C9)/C9</f>
        <v>-0.993983152827918</v>
      </c>
      <c r="J9" s="17">
        <f>AVERAGE(I6:I9)</f>
        <v>-0.945712922207262</v>
      </c>
      <c r="K9" s="17"/>
      <c r="L9" s="17">
        <f>('Cashflow'!C9-'Cashflow'!B9)/'Cashflow'!B9</f>
        <v>-0.952908587257618</v>
      </c>
    </row>
    <row r="10" ht="20.05" customHeight="1">
      <c r="B10" s="33"/>
      <c r="C10" s="18">
        <v>1009</v>
      </c>
      <c r="D10" s="24"/>
      <c r="E10" s="19">
        <v>570</v>
      </c>
      <c r="F10" s="19">
        <v>20</v>
      </c>
      <c r="G10" s="19">
        <v>-617</v>
      </c>
      <c r="H10" s="17">
        <f>C10/C9-1</f>
        <v>0.214199759326113</v>
      </c>
      <c r="I10" s="17">
        <f>(E10+G10-F10-C10)/C10</f>
        <v>-1.06640237859267</v>
      </c>
      <c r="J10" s="17">
        <f>AVERAGE(I7:I10)</f>
        <v>-0.898075106259402</v>
      </c>
      <c r="K10" s="17"/>
      <c r="L10" s="17">
        <f>('Cashflow'!C10-'Cashflow'!B10)/'Cashflow'!B10</f>
        <v>-1.53118040089087</v>
      </c>
    </row>
    <row r="11" ht="20.05" customHeight="1">
      <c r="B11" s="33"/>
      <c r="C11" s="18">
        <v>1045</v>
      </c>
      <c r="D11" s="24"/>
      <c r="E11" s="19">
        <v>487</v>
      </c>
      <c r="F11" s="19">
        <v>-267</v>
      </c>
      <c r="G11" s="19">
        <v>-689</v>
      </c>
      <c r="H11" s="17">
        <f>C11/C10-1</f>
        <v>0.0356788899900892</v>
      </c>
      <c r="I11" s="17">
        <f>(E11+G11-F11-C11)/C11</f>
        <v>-0.937799043062201</v>
      </c>
      <c r="J11" s="17">
        <f>AVERAGE(I8:I11)</f>
        <v>-0.994226994684527</v>
      </c>
      <c r="K11" s="17"/>
      <c r="L11" s="17">
        <f>('Cashflow'!C11-'Cashflow'!B11)/'Cashflow'!B11</f>
        <v>-2.5510752688172</v>
      </c>
    </row>
    <row r="12" ht="20.05" customHeight="1">
      <c r="B12" s="34">
        <v>2017</v>
      </c>
      <c r="C12" s="18">
        <v>1022</v>
      </c>
      <c r="D12" s="24"/>
      <c r="E12" s="19">
        <v>569</v>
      </c>
      <c r="F12" s="19">
        <v>101</v>
      </c>
      <c r="G12" s="19">
        <v>-754</v>
      </c>
      <c r="H12" s="17">
        <f>C12/C11-1</f>
        <v>-0.0220095693779904</v>
      </c>
      <c r="I12" s="17">
        <f>(E12+G12-F12-C12)/C12</f>
        <v>-1.27984344422701</v>
      </c>
      <c r="J12" s="17">
        <f>AVERAGE(I9:I12)</f>
        <v>-1.06950700467745</v>
      </c>
      <c r="K12" s="17"/>
      <c r="L12" s="17">
        <f>('Cashflow'!C12-'Cashflow'!B12)/'Cashflow'!B12</f>
        <v>-1.43527367506516</v>
      </c>
    </row>
    <row r="13" ht="20.05" customHeight="1">
      <c r="B13" s="33"/>
      <c r="C13" s="18">
        <v>1120</v>
      </c>
      <c r="D13" s="24"/>
      <c r="E13" s="19">
        <v>601</v>
      </c>
      <c r="F13" s="19">
        <v>2</v>
      </c>
      <c r="G13" s="19">
        <v>-412</v>
      </c>
      <c r="H13" s="17">
        <f>C13/C12-1</f>
        <v>0.0958904109589041</v>
      </c>
      <c r="I13" s="17">
        <f>(E13+G13-F13-C13)/C13</f>
        <v>-0.833035714285714</v>
      </c>
      <c r="J13" s="17">
        <f>AVERAGE(I10:I13)</f>
        <v>-1.0292701450419</v>
      </c>
      <c r="K13" s="17"/>
      <c r="L13" s="17">
        <f>('Cashflow'!C13-'Cashflow'!B13)/'Cashflow'!B13</f>
        <v>-1.33655913978495</v>
      </c>
    </row>
    <row r="14" ht="20.05" customHeight="1">
      <c r="B14" s="33"/>
      <c r="C14" s="18">
        <v>1177</v>
      </c>
      <c r="D14" s="24"/>
      <c r="E14" s="19">
        <v>803</v>
      </c>
      <c r="F14" s="19">
        <v>-163</v>
      </c>
      <c r="G14" s="19">
        <v>-1657</v>
      </c>
      <c r="H14" s="17">
        <f>C14/C13-1</f>
        <v>0.0508928571428571</v>
      </c>
      <c r="I14" s="17">
        <f>(E14+G14-F14-C14)/C14</f>
        <v>-1.58708581138488</v>
      </c>
      <c r="J14" s="17">
        <f>AVERAGE(I11:I14)</f>
        <v>-1.15944100323995</v>
      </c>
      <c r="K14" s="17"/>
      <c r="L14" s="17">
        <f>('Cashflow'!C14-'Cashflow'!B14)/'Cashflow'!B14</f>
        <v>-0.608181818181818</v>
      </c>
    </row>
    <row r="15" ht="20.05" customHeight="1">
      <c r="B15" s="33"/>
      <c r="C15" s="18">
        <v>1349</v>
      </c>
      <c r="D15" s="24"/>
      <c r="E15" s="19">
        <v>943</v>
      </c>
      <c r="F15" s="19">
        <v>15</v>
      </c>
      <c r="G15" s="19">
        <v>-200</v>
      </c>
      <c r="H15" s="17">
        <f>C15/C14-1</f>
        <v>0.146134239592184</v>
      </c>
      <c r="I15" s="17">
        <f>(E15+G15-F15-C15)/C15</f>
        <v>-0.460340993328391</v>
      </c>
      <c r="J15" s="17">
        <f>AVERAGE(I12:I15)</f>
        <v>-1.0400764908065</v>
      </c>
      <c r="K15" s="17"/>
      <c r="L15" s="17">
        <f>('Cashflow'!C15-'Cashflow'!B15)/'Cashflow'!B15</f>
        <v>-1.35623100303951</v>
      </c>
    </row>
    <row r="16" ht="20.05" customHeight="1">
      <c r="B16" s="34">
        <v>2018</v>
      </c>
      <c r="C16" s="18">
        <v>1206</v>
      </c>
      <c r="D16" s="24"/>
      <c r="E16" s="19">
        <v>905</v>
      </c>
      <c r="F16" s="19">
        <v>-59</v>
      </c>
      <c r="G16" s="19">
        <v>-685</v>
      </c>
      <c r="H16" s="17">
        <f>C16/C15-1</f>
        <v>-0.106004447739066</v>
      </c>
      <c r="I16" s="17">
        <f>(E16+G16-F16-C16)/C16</f>
        <v>-0.76865671641791</v>
      </c>
      <c r="J16" s="17">
        <f>AVERAGE(I13:I16)</f>
        <v>-0.912279808854224</v>
      </c>
      <c r="K16" s="17"/>
      <c r="L16" s="17">
        <f>('Cashflow'!C16-'Cashflow'!B16)/'Cashflow'!B16</f>
        <v>-1.21755368814192</v>
      </c>
    </row>
    <row r="17" ht="20.05" customHeight="1">
      <c r="B17" s="33"/>
      <c r="C17" s="18">
        <v>1337</v>
      </c>
      <c r="D17" s="24"/>
      <c r="E17" s="19">
        <v>875</v>
      </c>
      <c r="F17" s="19">
        <v>-148</v>
      </c>
      <c r="G17" s="19">
        <v>-965</v>
      </c>
      <c r="H17" s="17">
        <f>C17/C16-1</f>
        <v>0.108623548922056</v>
      </c>
      <c r="I17" s="17">
        <f>(E17+G17-F17-C17)/C17</f>
        <v>-0.9566192969334329</v>
      </c>
      <c r="J17" s="17">
        <f>AVERAGE(I14:I17)</f>
        <v>-0.943175704516154</v>
      </c>
      <c r="K17" s="17"/>
      <c r="L17" s="17">
        <f>('Cashflow'!C17-'Cashflow'!B17)/'Cashflow'!B17</f>
        <v>-1.06825938566553</v>
      </c>
    </row>
    <row r="18" ht="20.05" customHeight="1">
      <c r="B18" s="33"/>
      <c r="C18" s="18">
        <v>1407</v>
      </c>
      <c r="D18" s="24"/>
      <c r="E18" s="19">
        <v>905</v>
      </c>
      <c r="F18" s="19">
        <v>-366</v>
      </c>
      <c r="G18" s="19">
        <v>-854</v>
      </c>
      <c r="H18" s="17">
        <f>C18/C17-1</f>
        <v>0.0523560209424084</v>
      </c>
      <c r="I18" s="17">
        <f>(E18+G18-F18-C18)/C18</f>
        <v>-0.70362473347548</v>
      </c>
      <c r="J18" s="17">
        <f>AVERAGE(I15:I18)</f>
        <v>-0.722310435038804</v>
      </c>
      <c r="K18" s="17"/>
      <c r="L18" s="17">
        <f>('Cashflow'!C18-'Cashflow'!B18)/'Cashflow'!B18</f>
        <v>-1.0268115942029</v>
      </c>
    </row>
    <row r="19" ht="20.05" customHeight="1">
      <c r="B19" s="33"/>
      <c r="C19" s="18">
        <v>1540</v>
      </c>
      <c r="D19" s="24"/>
      <c r="E19" s="19">
        <v>936</v>
      </c>
      <c r="F19" s="19">
        <v>427</v>
      </c>
      <c r="G19" s="19">
        <v>-1049</v>
      </c>
      <c r="H19" s="17">
        <f>C19/C18-1</f>
        <v>0.0945273631840796</v>
      </c>
      <c r="I19" s="17">
        <f>(E19+G19-F19-C19)/C19</f>
        <v>-1.35064935064935</v>
      </c>
      <c r="J19" s="17">
        <f>AVERAGE(I16:I19)</f>
        <v>-0.944887524369043</v>
      </c>
      <c r="K19" s="17"/>
      <c r="L19" s="17">
        <f>('Cashflow'!C19-'Cashflow'!B19)/'Cashflow'!B19</f>
        <v>-1.28399581589958</v>
      </c>
    </row>
    <row r="20" ht="20.05" customHeight="1">
      <c r="B20" s="34">
        <v>2019</v>
      </c>
      <c r="C20" s="18">
        <v>1411</v>
      </c>
      <c r="D20" s="24"/>
      <c r="E20" s="19">
        <v>969</v>
      </c>
      <c r="F20" s="19">
        <v>202</v>
      </c>
      <c r="G20" s="19">
        <v>-425</v>
      </c>
      <c r="H20" s="17">
        <f>C20/C19-1</f>
        <v>-0.08376623376623379</v>
      </c>
      <c r="I20" s="17">
        <f>(E20+G20-F20-C20)/C20</f>
        <v>-0.757618710134656</v>
      </c>
      <c r="J20" s="17">
        <f>AVERAGE(I17:I20)</f>
        <v>-0.94212802279823</v>
      </c>
      <c r="K20" s="17"/>
      <c r="L20" s="17">
        <f>('Cashflow'!C20-'Cashflow'!B20)/'Cashflow'!B20</f>
        <v>-0.778080326752893</v>
      </c>
    </row>
    <row r="21" ht="20.05" customHeight="1">
      <c r="B21" s="33"/>
      <c r="C21" s="18">
        <v>1620</v>
      </c>
      <c r="D21" s="24"/>
      <c r="E21" s="19">
        <v>843</v>
      </c>
      <c r="F21" s="19">
        <v>-31</v>
      </c>
      <c r="G21" s="19">
        <v>-647</v>
      </c>
      <c r="H21" s="17">
        <f>C21/C20-1</f>
        <v>0.148121899362155</v>
      </c>
      <c r="I21" s="17">
        <f>(E21+G21-F21-C21)/C21</f>
        <v>-0.8598765432098771</v>
      </c>
      <c r="J21" s="17">
        <f>AVERAGE(I18:I21)</f>
        <v>-0.917942334367341</v>
      </c>
      <c r="K21" s="17"/>
      <c r="L21" s="17">
        <f>('Cashflow'!C21-'Cashflow'!B21)/'Cashflow'!B21</f>
        <v>-0.8435960591133</v>
      </c>
    </row>
    <row r="22" ht="20.05" customHeight="1">
      <c r="B22" s="33"/>
      <c r="C22" s="18">
        <v>1947</v>
      </c>
      <c r="D22" s="24"/>
      <c r="E22" s="19">
        <v>931</v>
      </c>
      <c r="F22" s="19">
        <v>27</v>
      </c>
      <c r="G22" s="19">
        <v>-567</v>
      </c>
      <c r="H22" s="17">
        <f>C22/C21-1</f>
        <v>0.201851851851852</v>
      </c>
      <c r="I22" s="17">
        <f>(E22+G22-F22-C22)/C22</f>
        <v>-0.826913199794556</v>
      </c>
      <c r="J22" s="17">
        <f>AVERAGE(I19:I22)</f>
        <v>-0.94876445094711</v>
      </c>
      <c r="K22" s="17"/>
      <c r="L22" s="17">
        <f>('Cashflow'!C22-'Cashflow'!B22)/'Cashflow'!B22</f>
        <v>-1.09202813599062</v>
      </c>
    </row>
    <row r="23" ht="20.05" customHeight="1">
      <c r="B23" s="33"/>
      <c r="C23" s="18">
        <v>2010</v>
      </c>
      <c r="D23" s="24"/>
      <c r="E23" s="19">
        <v>940</v>
      </c>
      <c r="F23" s="19">
        <v>117</v>
      </c>
      <c r="G23" s="19">
        <v>-549</v>
      </c>
      <c r="H23" s="17">
        <f>C23/C22-1</f>
        <v>0.0323574730354391</v>
      </c>
      <c r="I23" s="17">
        <f>(E23+G23-F23-C23)/C23</f>
        <v>-0.863681592039801</v>
      </c>
      <c r="J23" s="17">
        <f>AVERAGE(I20:I23)</f>
        <v>-0.827022511294723</v>
      </c>
      <c r="K23" s="17"/>
      <c r="L23" s="17">
        <f>('Cashflow'!C23-'Cashflow'!B23)/'Cashflow'!B23</f>
        <v>-1.10077393075356</v>
      </c>
    </row>
    <row r="24" ht="20.05" customHeight="1">
      <c r="B24" s="34">
        <v>2020</v>
      </c>
      <c r="C24" s="18">
        <v>1995.8</v>
      </c>
      <c r="D24" s="19">
        <v>1693.2</v>
      </c>
      <c r="E24" s="19">
        <v>1077.5</v>
      </c>
      <c r="F24" s="19">
        <v>-1266</v>
      </c>
      <c r="G24" s="19">
        <v>-1777</v>
      </c>
      <c r="H24" s="17">
        <f>C24/C23-1</f>
        <v>-0.00706467661691542</v>
      </c>
      <c r="I24" s="17">
        <f>(E24+G24-F24-C24)/C24</f>
        <v>-0.716153923238801</v>
      </c>
      <c r="J24" s="17">
        <f>AVERAGE(I21:I24)</f>
        <v>-0.816656314570759</v>
      </c>
      <c r="K24" s="17"/>
      <c r="L24" s="17">
        <f>('Cashflow'!C24-'Cashflow'!B24)/'Cashflow'!B24</f>
        <v>-0.636300639658849</v>
      </c>
    </row>
    <row r="25" ht="20.05" customHeight="1">
      <c r="B25" s="33"/>
      <c r="C25" s="18">
        <v>2307.2</v>
      </c>
      <c r="D25" s="19">
        <v>2187</v>
      </c>
      <c r="E25" s="19">
        <v>1148.5</v>
      </c>
      <c r="F25" s="19">
        <v>1191</v>
      </c>
      <c r="G25" s="19">
        <v>555</v>
      </c>
      <c r="H25" s="17">
        <f>C25/C24-1</f>
        <v>0.156027658081972</v>
      </c>
      <c r="I25" s="17">
        <f>(E25+G25-F25-C25)/C25</f>
        <v>-0.777869278779473</v>
      </c>
      <c r="J25" s="17">
        <f>AVERAGE(I22:I25)</f>
        <v>-0.796154498463158</v>
      </c>
      <c r="K25" s="17"/>
      <c r="L25" s="17">
        <f>('Cashflow'!C25-'Cashflow'!B25)/'Cashflow'!B25</f>
        <v>-0.982380952380952</v>
      </c>
    </row>
    <row r="26" ht="20.05" customHeight="1">
      <c r="B26" s="33"/>
      <c r="C26" s="18">
        <f>6845.95-SUM(C24:C25)</f>
        <v>2542.95</v>
      </c>
      <c r="D26" s="19">
        <v>2433.75</v>
      </c>
      <c r="E26" s="19">
        <f>3246.5-SUM(E24:E25)</f>
        <v>1020.5</v>
      </c>
      <c r="F26" s="19">
        <f>-255-SUM(F24:F25)</f>
        <v>-180</v>
      </c>
      <c r="G26" s="19">
        <f>-1751.89-SUM(G24:G25)</f>
        <v>-529.89</v>
      </c>
      <c r="H26" s="17">
        <f>C26/C25-1</f>
        <v>0.102180131761442</v>
      </c>
      <c r="I26" s="17">
        <f>(E26+G26-F26-C26)/C26</f>
        <v>-0.736286596275979</v>
      </c>
      <c r="J26" s="17">
        <f>AVERAGE(I23:I26)</f>
        <v>-0.773497847583514</v>
      </c>
      <c r="K26" s="17"/>
      <c r="L26" s="17">
        <f>('Cashflow'!C26-'Cashflow'!B26)/'Cashflow'!B26</f>
        <v>-0.804218937978431</v>
      </c>
    </row>
    <row r="27" ht="20.05" customHeight="1">
      <c r="B27" s="33"/>
      <c r="C27" s="18">
        <f>9407.9-SUM(C24:C26)</f>
        <v>2561.95</v>
      </c>
      <c r="D27" s="19">
        <v>2670.0975</v>
      </c>
      <c r="E27" s="19">
        <f>3833.4-SUM(E24:E26)</f>
        <v>586.9</v>
      </c>
      <c r="F27" s="19">
        <f>-2.4-SUM(F24:F26)</f>
        <v>252.6</v>
      </c>
      <c r="G27" s="19">
        <f>-1523.6-SUM(G24:G26)</f>
        <v>228.29</v>
      </c>
      <c r="H27" s="17">
        <f>C27/C26-1</f>
        <v>0.00747163727167266</v>
      </c>
      <c r="I27" s="17">
        <f>(E27+G27-F27-C27)/C27</f>
        <v>-0.780405550459611</v>
      </c>
      <c r="J27" s="17">
        <f>AVERAGE(I24:I27)</f>
        <v>-0.752678837188466</v>
      </c>
      <c r="K27" s="17"/>
      <c r="L27" s="17">
        <f>('Cashflow'!C27-'Cashflow'!B27)/'Cashflow'!B27</f>
        <v>-0.881175320245422</v>
      </c>
    </row>
    <row r="28" ht="20.05" customHeight="1">
      <c r="B28" s="34">
        <v>2021</v>
      </c>
      <c r="C28" s="18">
        <v>2406</v>
      </c>
      <c r="D28" s="19">
        <v>2568.3795</v>
      </c>
      <c r="E28" s="19">
        <v>963.25</v>
      </c>
      <c r="F28" s="19">
        <f>-177-10</f>
        <v>-187</v>
      </c>
      <c r="G28" s="19">
        <v>-397</v>
      </c>
      <c r="H28" s="17">
        <f>C28/C27-1</f>
        <v>-0.0608716017096352</v>
      </c>
      <c r="I28" s="17">
        <f>(E28+G28-F28-C28)/C28</f>
        <v>-0.6869285120532</v>
      </c>
      <c r="J28" s="17">
        <f>AVERAGE(I25:I28)</f>
        <v>-0.745372484392066</v>
      </c>
      <c r="K28" s="17"/>
      <c r="L28" s="17">
        <f>('Cashflow'!C28-'Cashflow'!B28)/'Cashflow'!B28</f>
        <v>-0.672091131000814</v>
      </c>
    </row>
    <row r="29" ht="20.05" customHeight="1">
      <c r="B29" s="33"/>
      <c r="C29" s="18">
        <v>2545</v>
      </c>
      <c r="D29" s="19">
        <v>2766.9</v>
      </c>
      <c r="E29" s="35">
        <v>963.25</v>
      </c>
      <c r="F29" s="24">
        <v>64</v>
      </c>
      <c r="G29" s="19">
        <v>-55</v>
      </c>
      <c r="H29" s="17">
        <f>C29/C28-1</f>
        <v>0.0577722360764755</v>
      </c>
      <c r="I29" s="17">
        <f>(E29+G29-F29-C29)/C29</f>
        <v>-0.6682711198428291</v>
      </c>
      <c r="J29" s="17">
        <f>AVERAGE(I26:I29)</f>
        <v>-0.717972944657905</v>
      </c>
      <c r="K29" s="17"/>
      <c r="L29" s="17">
        <f>('Cashflow'!C29-'Cashflow'!B29)/'Cashflow'!B29</f>
        <v>-0.571926765475153</v>
      </c>
    </row>
    <row r="30" ht="20.05" customHeight="1">
      <c r="B30" s="33"/>
      <c r="C30" s="18">
        <f>7642-SUM(C28:C29)</f>
        <v>2691</v>
      </c>
      <c r="D30" s="15">
        <v>3054</v>
      </c>
      <c r="E30" s="19">
        <v>963.25</v>
      </c>
      <c r="F30" s="19">
        <f>-77.5-SUM(F28:F29)</f>
        <v>45.5</v>
      </c>
      <c r="G30" s="19">
        <f>-441.7-SUM(G28:G29)</f>
        <v>10.3</v>
      </c>
      <c r="H30" s="17">
        <f>C30/C29-1</f>
        <v>0.0573673870333988</v>
      </c>
      <c r="I30" s="17">
        <f>(E30+G30-F30-C30)/C30</f>
        <v>-0.655128205128205</v>
      </c>
      <c r="J30" s="17">
        <f>AVERAGE(I27:I30)</f>
        <v>-0.697683346870961</v>
      </c>
      <c r="K30" s="17"/>
      <c r="L30" s="17">
        <f>('Cashflow'!C30-'Cashflow'!B30)/'Cashflow'!B30</f>
        <v>-0.701714906494917</v>
      </c>
    </row>
    <row r="31" ht="20.05" customHeight="1">
      <c r="B31" s="33"/>
      <c r="C31" s="18">
        <f>10457-C30-C29-C28</f>
        <v>2815</v>
      </c>
      <c r="D31" s="15">
        <v>2960.1</v>
      </c>
      <c r="E31" s="35">
        <v>963.25</v>
      </c>
      <c r="F31" s="35">
        <f>-35-F30-F29-F28</f>
        <v>42.5</v>
      </c>
      <c r="G31" s="19">
        <f>-435-G30-G29-G28</f>
        <v>6.7</v>
      </c>
      <c r="H31" s="17">
        <f>C31/C30-1</f>
        <v>0.0460795243403939</v>
      </c>
      <c r="I31" s="17">
        <f>(E31+G31-F31-C31)/C31</f>
        <v>-0.670532859680284</v>
      </c>
      <c r="J31" s="17">
        <f>AVERAGE(I28:I31)</f>
        <v>-0.67021517417613</v>
      </c>
      <c r="K31" s="17">
        <f>J31</f>
        <v>-0.67021517417613</v>
      </c>
      <c r="L31" s="17"/>
    </row>
    <row r="32" ht="20.05" customHeight="1">
      <c r="B32" s="34">
        <v>2022</v>
      </c>
      <c r="C32" s="18"/>
      <c r="D32" s="15">
        <f>'Model'!C6</f>
        <v>2815</v>
      </c>
      <c r="E32" s="35"/>
      <c r="F32" s="19"/>
      <c r="G32" s="19"/>
      <c r="H32" s="13"/>
      <c r="I32" s="13"/>
      <c r="J32" s="13"/>
      <c r="K32" s="17">
        <f>'Model'!C7</f>
        <v>-0.670532859680284</v>
      </c>
      <c r="L32" s="13"/>
    </row>
    <row r="33" ht="20.05" customHeight="1">
      <c r="B33" s="33"/>
      <c r="C33" s="18"/>
      <c r="D33" s="19">
        <f>'Model'!D6</f>
        <v>2983.9</v>
      </c>
      <c r="E33" s="35"/>
      <c r="F33" s="24"/>
      <c r="G33" s="19"/>
      <c r="H33" s="13"/>
      <c r="I33" s="13"/>
      <c r="J33" s="13"/>
      <c r="K33" s="13"/>
      <c r="L33" s="13"/>
    </row>
    <row r="34" ht="20.05" customHeight="1">
      <c r="B34" s="33"/>
      <c r="C34" s="18"/>
      <c r="D34" s="19">
        <f>'Model'!E6</f>
        <v>3162.934</v>
      </c>
      <c r="E34" s="35"/>
      <c r="F34" s="17"/>
      <c r="G34" s="19"/>
      <c r="H34" s="13"/>
      <c r="I34" s="13"/>
      <c r="J34" s="13"/>
      <c r="K34" s="13"/>
      <c r="L34" s="13"/>
    </row>
    <row r="35" ht="20.05" customHeight="1">
      <c r="B35" s="33"/>
      <c r="C35" s="18"/>
      <c r="D35" s="19">
        <f>'Model'!F6</f>
        <v>3321.0807</v>
      </c>
      <c r="E35" s="35"/>
      <c r="F35" s="17"/>
      <c r="G35" s="19"/>
      <c r="H35" s="13"/>
      <c r="I35" s="13"/>
      <c r="J35" s="13"/>
      <c r="K35" s="13"/>
      <c r="L35" s="13"/>
    </row>
  </sheetData>
  <mergeCells count="1">
    <mergeCell ref="B2:L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3:M32"/>
  <sheetViews>
    <sheetView workbookViewId="0" showGridLines="0" defaultGridColor="1">
      <pane topLeftCell="B4" xSplit="1" ySplit="3" activePane="bottomRight" state="frozen"/>
    </sheetView>
  </sheetViews>
  <sheetFormatPr defaultColWidth="16.3333" defaultRowHeight="19.9" customHeight="1" outlineLevelRow="0" outlineLevelCol="0"/>
  <cols>
    <col min="1" max="1" width="7.66406" style="36" customWidth="1"/>
    <col min="2" max="13" width="10.6172" style="36" customWidth="1"/>
    <col min="14" max="16384" width="16.3516" style="36" customWidth="1"/>
  </cols>
  <sheetData>
    <row r="1" ht="44.7" customHeight="1"/>
    <row r="2" ht="27.65" customHeight="1">
      <c r="A2" t="s" s="2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A3" t="s" s="6">
        <v>1</v>
      </c>
      <c r="B3" t="s" s="6">
        <v>46</v>
      </c>
      <c r="C3" t="s" s="6">
        <v>8</v>
      </c>
      <c r="D3" t="s" s="6">
        <v>9</v>
      </c>
      <c r="E3" t="s" s="6">
        <v>10</v>
      </c>
      <c r="F3" t="s" s="6">
        <v>12</v>
      </c>
      <c r="G3" t="s" s="6">
        <v>13</v>
      </c>
      <c r="H3" t="s" s="6">
        <v>47</v>
      </c>
      <c r="I3" t="s" s="6">
        <v>48</v>
      </c>
      <c r="J3" t="s" s="6">
        <v>3</v>
      </c>
      <c r="K3" t="s" s="6">
        <v>34</v>
      </c>
      <c r="L3" t="s" s="6">
        <v>29</v>
      </c>
      <c r="M3" t="s" s="6">
        <v>34</v>
      </c>
    </row>
    <row r="4" ht="20.25" customHeight="1">
      <c r="A4" s="28">
        <v>2015</v>
      </c>
      <c r="B4" s="29">
        <v>972</v>
      </c>
      <c r="C4" s="31">
        <v>93</v>
      </c>
      <c r="D4" s="31">
        <v>-296</v>
      </c>
      <c r="E4" s="31">
        <v>-30</v>
      </c>
      <c r="F4" s="31"/>
      <c r="G4" s="31"/>
      <c r="H4" s="31">
        <v>-30</v>
      </c>
      <c r="I4" s="31">
        <f>C4+D4+E4</f>
        <v>-233</v>
      </c>
      <c r="J4" s="31"/>
      <c r="K4" s="31"/>
      <c r="L4" s="31">
        <f>-(H4-E4)</f>
        <v>0</v>
      </c>
      <c r="M4" s="31"/>
    </row>
    <row r="5" ht="20.05" customHeight="1">
      <c r="A5" s="33"/>
      <c r="B5" s="18">
        <v>1021</v>
      </c>
      <c r="C5" s="19">
        <v>-357</v>
      </c>
      <c r="D5" s="19">
        <v>-1114</v>
      </c>
      <c r="E5" s="19">
        <v>-33</v>
      </c>
      <c r="F5" s="19"/>
      <c r="G5" s="19"/>
      <c r="H5" s="19">
        <v>1603</v>
      </c>
      <c r="I5" s="19">
        <f>C5+D5+E5</f>
        <v>-1504</v>
      </c>
      <c r="J5" s="19"/>
      <c r="K5" s="19"/>
      <c r="L5" s="19">
        <f>-(H5-E5)+L4</f>
        <v>-1636</v>
      </c>
      <c r="M5" s="19"/>
    </row>
    <row r="6" ht="20.05" customHeight="1">
      <c r="A6" s="33"/>
      <c r="B6" s="18">
        <v>1169</v>
      </c>
      <c r="C6" s="19">
        <v>105</v>
      </c>
      <c r="D6" s="19">
        <v>-224</v>
      </c>
      <c r="E6" s="19">
        <v>-30</v>
      </c>
      <c r="F6" s="19"/>
      <c r="G6" s="19"/>
      <c r="H6" s="19">
        <v>53</v>
      </c>
      <c r="I6" s="19">
        <f>C6+D6+E6</f>
        <v>-149</v>
      </c>
      <c r="J6" s="19"/>
      <c r="K6" s="19"/>
      <c r="L6" s="19">
        <f>-(H6-E6)+L5</f>
        <v>-1719</v>
      </c>
      <c r="M6" s="19"/>
    </row>
    <row r="7" ht="20.05" customHeight="1">
      <c r="A7" s="33"/>
      <c r="B7" s="18">
        <v>1189</v>
      </c>
      <c r="C7" s="19">
        <v>-1664</v>
      </c>
      <c r="D7" s="19">
        <v>-373</v>
      </c>
      <c r="E7" s="19">
        <v>-43</v>
      </c>
      <c r="F7" s="19"/>
      <c r="G7" s="19"/>
      <c r="H7" s="19">
        <v>1577</v>
      </c>
      <c r="I7" s="19">
        <f>C7+D7+E7</f>
        <v>-2080</v>
      </c>
      <c r="J7" s="19"/>
      <c r="K7" s="19"/>
      <c r="L7" s="19">
        <f>-(H7-E7)+L6</f>
        <v>-3339</v>
      </c>
      <c r="M7" s="19"/>
    </row>
    <row r="8" ht="20.05" customHeight="1">
      <c r="A8" s="34">
        <v>2016</v>
      </c>
      <c r="B8" s="18">
        <v>914</v>
      </c>
      <c r="C8" s="19">
        <v>-136</v>
      </c>
      <c r="D8" s="19">
        <v>-186</v>
      </c>
      <c r="E8" s="19">
        <v>-57</v>
      </c>
      <c r="F8" s="19"/>
      <c r="G8" s="19"/>
      <c r="H8" s="19">
        <v>759</v>
      </c>
      <c r="I8" s="19">
        <f>C8+D8+E8</f>
        <v>-379</v>
      </c>
      <c r="J8" s="19">
        <f>AVERAGE(I5:I8)</f>
        <v>-1028</v>
      </c>
      <c r="K8" s="19"/>
      <c r="L8" s="19">
        <f>-(H8-E8)+L7</f>
        <v>-4155</v>
      </c>
      <c r="M8" s="19"/>
    </row>
    <row r="9" ht="20.05" customHeight="1">
      <c r="A9" s="33"/>
      <c r="B9" s="18">
        <v>1444</v>
      </c>
      <c r="C9" s="19">
        <v>68</v>
      </c>
      <c r="D9" s="19">
        <v>-544</v>
      </c>
      <c r="E9" s="19">
        <v>-60</v>
      </c>
      <c r="F9" s="19"/>
      <c r="G9" s="19"/>
      <c r="H9" s="19">
        <v>561</v>
      </c>
      <c r="I9" s="19">
        <f>C9+D9+E9</f>
        <v>-536</v>
      </c>
      <c r="J9" s="19">
        <f>AVERAGE(I6:I9)</f>
        <v>-786</v>
      </c>
      <c r="K9" s="19"/>
      <c r="L9" s="19">
        <f>-(H9-E9)+L8</f>
        <v>-4776</v>
      </c>
      <c r="M9" s="19"/>
    </row>
    <row r="10" ht="20.05" customHeight="1">
      <c r="A10" s="33"/>
      <c r="B10" s="18">
        <v>898</v>
      </c>
      <c r="C10" s="19">
        <v>-477</v>
      </c>
      <c r="D10" s="19">
        <v>-193</v>
      </c>
      <c r="E10" s="19">
        <v>-62</v>
      </c>
      <c r="F10" s="19"/>
      <c r="G10" s="19"/>
      <c r="H10" s="19">
        <v>685</v>
      </c>
      <c r="I10" s="19">
        <f>C10+D10+E10</f>
        <v>-732</v>
      </c>
      <c r="J10" s="19">
        <f>AVERAGE(I7:I10)</f>
        <v>-931.75</v>
      </c>
      <c r="K10" s="19"/>
      <c r="L10" s="19">
        <f>-(H10-E10)+L9</f>
        <v>-5523</v>
      </c>
      <c r="M10" s="19"/>
    </row>
    <row r="11" ht="20.05" customHeight="1">
      <c r="A11" s="33"/>
      <c r="B11" s="18">
        <v>744</v>
      </c>
      <c r="C11" s="19">
        <v>-1154</v>
      </c>
      <c r="D11" s="19">
        <v>-577</v>
      </c>
      <c r="E11" s="19">
        <v>-67</v>
      </c>
      <c r="F11" s="19"/>
      <c r="G11" s="19"/>
      <c r="H11" s="19">
        <v>1306</v>
      </c>
      <c r="I11" s="19">
        <f>C11+D11+E11</f>
        <v>-1798</v>
      </c>
      <c r="J11" s="19">
        <f>AVERAGE(I8:I11)</f>
        <v>-861.25</v>
      </c>
      <c r="K11" s="19"/>
      <c r="L11" s="19">
        <f>-(H11-E11)+L10</f>
        <v>-6896</v>
      </c>
      <c r="M11" s="19"/>
    </row>
    <row r="12" ht="20.05" customHeight="1">
      <c r="A12" s="34">
        <v>2017</v>
      </c>
      <c r="B12" s="18">
        <v>1151</v>
      </c>
      <c r="C12" s="19">
        <v>-501</v>
      </c>
      <c r="D12" s="19">
        <v>-448</v>
      </c>
      <c r="E12" s="19">
        <v>-68</v>
      </c>
      <c r="F12" s="19"/>
      <c r="G12" s="19"/>
      <c r="H12" s="19">
        <v>888</v>
      </c>
      <c r="I12" s="19">
        <f>C12+D12+E12</f>
        <v>-1017</v>
      </c>
      <c r="J12" s="19">
        <f>AVERAGE(I9:I12)</f>
        <v>-1020.75</v>
      </c>
      <c r="K12" s="19"/>
      <c r="L12" s="19">
        <f>-(H12-E12)+L11</f>
        <v>-7852</v>
      </c>
      <c r="M12" s="19"/>
    </row>
    <row r="13" ht="20.05" customHeight="1">
      <c r="A13" s="33"/>
      <c r="B13" s="18">
        <v>930</v>
      </c>
      <c r="C13" s="19">
        <v>-313</v>
      </c>
      <c r="D13" s="19">
        <v>-636</v>
      </c>
      <c r="E13" s="19">
        <v>-107</v>
      </c>
      <c r="F13" s="19"/>
      <c r="G13" s="19"/>
      <c r="H13" s="19">
        <v>963</v>
      </c>
      <c r="I13" s="19">
        <f>C13+D13+E13</f>
        <v>-1056</v>
      </c>
      <c r="J13" s="19">
        <f>AVERAGE(I10:I13)</f>
        <v>-1150.75</v>
      </c>
      <c r="K13" s="19"/>
      <c r="L13" s="19">
        <f>-(H13-E13)+L12</f>
        <v>-8922</v>
      </c>
      <c r="M13" s="19"/>
    </row>
    <row r="14" ht="20.05" customHeight="1">
      <c r="A14" s="33"/>
      <c r="B14" s="18">
        <v>1100</v>
      </c>
      <c r="C14" s="19">
        <v>431</v>
      </c>
      <c r="D14" s="19">
        <v>-755</v>
      </c>
      <c r="E14" s="19">
        <v>-76</v>
      </c>
      <c r="F14" s="19"/>
      <c r="G14" s="19"/>
      <c r="H14" s="19">
        <v>325</v>
      </c>
      <c r="I14" s="19">
        <f>C14+D14+E14</f>
        <v>-400</v>
      </c>
      <c r="J14" s="19">
        <f>AVERAGE(I11:I14)</f>
        <v>-1067.75</v>
      </c>
      <c r="K14" s="19"/>
      <c r="L14" s="19">
        <f>-(H14-E14)+L13</f>
        <v>-9323</v>
      </c>
      <c r="M14" s="19"/>
    </row>
    <row r="15" ht="20.05" customHeight="1">
      <c r="A15" s="33"/>
      <c r="B15" s="18">
        <v>1645</v>
      </c>
      <c r="C15" s="19">
        <v>-586</v>
      </c>
      <c r="D15" s="19">
        <v>-1125</v>
      </c>
      <c r="E15" s="19">
        <v>-85</v>
      </c>
      <c r="F15" s="19"/>
      <c r="G15" s="19"/>
      <c r="H15" s="19">
        <v>1988</v>
      </c>
      <c r="I15" s="19">
        <f>C15+D15+E15</f>
        <v>-1796</v>
      </c>
      <c r="J15" s="19">
        <f>AVERAGE(I12:I15)</f>
        <v>-1067.25</v>
      </c>
      <c r="K15" s="19"/>
      <c r="L15" s="19">
        <f>-(H15-E15)+L14</f>
        <v>-11396</v>
      </c>
      <c r="M15" s="19"/>
    </row>
    <row r="16" ht="20.05" customHeight="1">
      <c r="A16" s="34">
        <v>2018</v>
      </c>
      <c r="B16" s="18">
        <v>1071</v>
      </c>
      <c r="C16" s="19">
        <v>-233</v>
      </c>
      <c r="D16" s="19">
        <v>-419</v>
      </c>
      <c r="E16" s="19">
        <v>-83</v>
      </c>
      <c r="F16" s="19"/>
      <c r="G16" s="19"/>
      <c r="H16" s="19">
        <v>402</v>
      </c>
      <c r="I16" s="19">
        <f>C16+D16+E16</f>
        <v>-735</v>
      </c>
      <c r="J16" s="19">
        <f>AVERAGE(I13:I16)</f>
        <v>-996.75</v>
      </c>
      <c r="K16" s="19"/>
      <c r="L16" s="19">
        <f>-(H16-E16)+L15</f>
        <v>-11881</v>
      </c>
      <c r="M16" s="19"/>
    </row>
    <row r="17" ht="20.05" customHeight="1">
      <c r="A17" s="33"/>
      <c r="B17" s="18">
        <v>1465</v>
      </c>
      <c r="C17" s="19">
        <v>-100</v>
      </c>
      <c r="D17" s="19">
        <v>-454</v>
      </c>
      <c r="E17" s="19">
        <v>-87</v>
      </c>
      <c r="F17" s="19"/>
      <c r="G17" s="19"/>
      <c r="H17" s="19">
        <v>-1166</v>
      </c>
      <c r="I17" s="19">
        <f>C17+D17+E17</f>
        <v>-641</v>
      </c>
      <c r="J17" s="19">
        <f>AVERAGE(I14:I17)</f>
        <v>-893</v>
      </c>
      <c r="K17" s="19"/>
      <c r="L17" s="19">
        <f>-(H17-E17)+L16</f>
        <v>-10802</v>
      </c>
      <c r="M17" s="19"/>
    </row>
    <row r="18" ht="20.05" customHeight="1">
      <c r="A18" s="33"/>
      <c r="B18" s="18">
        <v>1380</v>
      </c>
      <c r="C18" s="19">
        <v>-37</v>
      </c>
      <c r="D18" s="19">
        <v>-1060</v>
      </c>
      <c r="E18" s="19">
        <v>-82</v>
      </c>
      <c r="F18" s="19"/>
      <c r="G18" s="19"/>
      <c r="H18" s="19">
        <v>2914</v>
      </c>
      <c r="I18" s="19">
        <f>C18+D18+E18</f>
        <v>-1179</v>
      </c>
      <c r="J18" s="19">
        <f>AVERAGE(I15:I18)</f>
        <v>-1087.75</v>
      </c>
      <c r="K18" s="19"/>
      <c r="L18" s="19">
        <f>-(H18-E18)+L17</f>
        <v>-13798</v>
      </c>
      <c r="M18" s="19"/>
    </row>
    <row r="19" ht="20.05" customHeight="1">
      <c r="A19" s="33"/>
      <c r="B19" s="18">
        <v>1912</v>
      </c>
      <c r="C19" s="19">
        <v>-543</v>
      </c>
      <c r="D19" s="19">
        <v>-1004</v>
      </c>
      <c r="E19" s="19">
        <v>-72</v>
      </c>
      <c r="F19" s="19"/>
      <c r="G19" s="19"/>
      <c r="H19" s="19">
        <v>1662</v>
      </c>
      <c r="I19" s="19">
        <f>C19+D19+E19</f>
        <v>-1619</v>
      </c>
      <c r="J19" s="19">
        <f>AVERAGE(I16:I19)</f>
        <v>-1043.5</v>
      </c>
      <c r="K19" s="19"/>
      <c r="L19" s="19">
        <f>-(H19-E19)+L18</f>
        <v>-15532</v>
      </c>
      <c r="M19" s="19"/>
    </row>
    <row r="20" ht="20.05" customHeight="1">
      <c r="A20" s="34">
        <v>2019</v>
      </c>
      <c r="B20" s="18">
        <v>1469</v>
      </c>
      <c r="C20" s="19">
        <v>326</v>
      </c>
      <c r="D20" s="19">
        <v>-747</v>
      </c>
      <c r="E20" s="19">
        <v>-68</v>
      </c>
      <c r="F20" s="19"/>
      <c r="G20" s="19"/>
      <c r="H20" s="19">
        <v>344</v>
      </c>
      <c r="I20" s="19">
        <f>C20+D20+E20</f>
        <v>-489</v>
      </c>
      <c r="J20" s="19">
        <f>AVERAGE(I17:I20)</f>
        <v>-982</v>
      </c>
      <c r="K20" s="19"/>
      <c r="L20" s="19">
        <f>-(H20-E20)+L19</f>
        <v>-15944</v>
      </c>
      <c r="M20" s="19"/>
    </row>
    <row r="21" ht="20.05" customHeight="1">
      <c r="A21" s="33"/>
      <c r="B21" s="18">
        <v>1624</v>
      </c>
      <c r="C21" s="19">
        <v>254</v>
      </c>
      <c r="D21" s="19">
        <v>-1117</v>
      </c>
      <c r="E21" s="19">
        <v>-65</v>
      </c>
      <c r="F21" s="19"/>
      <c r="G21" s="19"/>
      <c r="H21" s="19">
        <v>744</v>
      </c>
      <c r="I21" s="19">
        <f>C21+D21+E21</f>
        <v>-928</v>
      </c>
      <c r="J21" s="19">
        <f>AVERAGE(I18:I21)</f>
        <v>-1053.75</v>
      </c>
      <c r="K21" s="19"/>
      <c r="L21" s="19">
        <f>-(H21-E21)+L20</f>
        <v>-16753</v>
      </c>
      <c r="M21" s="19"/>
    </row>
    <row r="22" ht="20.05" customHeight="1">
      <c r="A22" s="33"/>
      <c r="B22" s="18">
        <v>1706</v>
      </c>
      <c r="C22" s="19">
        <v>-157</v>
      </c>
      <c r="D22" s="19">
        <v>-987</v>
      </c>
      <c r="E22" s="19">
        <v>-66</v>
      </c>
      <c r="F22" s="19"/>
      <c r="G22" s="19"/>
      <c r="H22" s="19">
        <v>1301</v>
      </c>
      <c r="I22" s="19">
        <f>C22+D22+E22</f>
        <v>-1210</v>
      </c>
      <c r="J22" s="19">
        <f>AVERAGE(I19:I22)</f>
        <v>-1061.5</v>
      </c>
      <c r="K22" s="19"/>
      <c r="L22" s="19">
        <f>-(H22-E22)+L21</f>
        <v>-18120</v>
      </c>
      <c r="M22" s="19"/>
    </row>
    <row r="23" ht="20.05" customHeight="1">
      <c r="A23" s="33"/>
      <c r="B23" s="18">
        <v>2455</v>
      </c>
      <c r="C23" s="19">
        <v>-247.4</v>
      </c>
      <c r="D23" s="19">
        <v>-958</v>
      </c>
      <c r="E23" s="19">
        <v>-67</v>
      </c>
      <c r="F23" s="19"/>
      <c r="G23" s="19"/>
      <c r="H23" s="19">
        <v>1036.7</v>
      </c>
      <c r="I23" s="19">
        <f>C23+D23+E23</f>
        <v>-1272.4</v>
      </c>
      <c r="J23" s="19">
        <f>AVERAGE(I20:I23)</f>
        <v>-974.85</v>
      </c>
      <c r="K23" s="19"/>
      <c r="L23" s="19">
        <f>-(H23-E23)+L22</f>
        <v>-19223.7</v>
      </c>
      <c r="M23" s="19"/>
    </row>
    <row r="24" ht="20.05" customHeight="1">
      <c r="A24" s="34">
        <v>2020</v>
      </c>
      <c r="B24" s="18">
        <v>1876</v>
      </c>
      <c r="C24" s="19">
        <v>682.3</v>
      </c>
      <c r="D24" s="19">
        <v>-824.3</v>
      </c>
      <c r="E24" s="19">
        <v>-197</v>
      </c>
      <c r="F24" s="19"/>
      <c r="G24" s="19"/>
      <c r="H24" s="19">
        <v>118.2</v>
      </c>
      <c r="I24" s="19">
        <f>C24+D24+E24</f>
        <v>-339</v>
      </c>
      <c r="J24" s="19">
        <f>AVERAGE(I21:I24)</f>
        <v>-937.35</v>
      </c>
      <c r="K24" s="19"/>
      <c r="L24" s="19">
        <f>-(H24-E24)+L23</f>
        <v>-19538.9</v>
      </c>
      <c r="M24" s="19"/>
    </row>
    <row r="25" ht="20.05" customHeight="1">
      <c r="A25" s="33"/>
      <c r="B25" s="18">
        <v>2310</v>
      </c>
      <c r="C25" s="19">
        <v>40.7</v>
      </c>
      <c r="D25" s="19">
        <v>-1563.7</v>
      </c>
      <c r="E25" s="19">
        <v>-232</v>
      </c>
      <c r="F25" s="19"/>
      <c r="G25" s="19"/>
      <c r="H25" s="19">
        <v>1696.8</v>
      </c>
      <c r="I25" s="19">
        <f>C25+D25+E25</f>
        <v>-1755</v>
      </c>
      <c r="J25" s="19">
        <f>AVERAGE(I22:I25)</f>
        <v>-1144.1</v>
      </c>
      <c r="K25" s="19"/>
      <c r="L25" s="19">
        <f>-(H25-E25)+L24</f>
        <v>-21467.7</v>
      </c>
      <c r="M25" s="19"/>
    </row>
    <row r="26" ht="20.05" customHeight="1">
      <c r="A26" s="33"/>
      <c r="B26" s="18">
        <f>6776.889-SUM(B24:B25)</f>
        <v>2590.889</v>
      </c>
      <c r="C26" s="19">
        <f>1230.247-SUM(C24:C25)</f>
        <v>507.247</v>
      </c>
      <c r="D26" s="19">
        <f>-2935.48-SUM(D24:D25)</f>
        <v>-547.48</v>
      </c>
      <c r="E26" s="19">
        <v>-301</v>
      </c>
      <c r="F26" s="19"/>
      <c r="G26" s="19"/>
      <c r="H26" s="19">
        <f>2322.4-SUM(H24:H25)</f>
        <v>507.4</v>
      </c>
      <c r="I26" s="19">
        <f>C26+D26+E26</f>
        <v>-341.233</v>
      </c>
      <c r="J26" s="19">
        <f>AVERAGE(I23:I26)</f>
        <v>-926.90825</v>
      </c>
      <c r="K26" s="19"/>
      <c r="L26" s="19">
        <f>-(H26-E26)+L25</f>
        <v>-22276.1</v>
      </c>
      <c r="M26" s="19"/>
    </row>
    <row r="27" ht="20.05" customHeight="1">
      <c r="A27" s="33"/>
      <c r="B27" s="18">
        <f>9578.1-SUM(B24:B26)</f>
        <v>2801.211</v>
      </c>
      <c r="C27" s="19">
        <f>1563.1-SUM(C24:C26)</f>
        <v>332.853</v>
      </c>
      <c r="D27" s="19">
        <f>-4690-SUM(D24:D26)</f>
        <v>-1754.52</v>
      </c>
      <c r="E27" s="19">
        <f>-1105.1-SUM(E24:E26)</f>
        <v>-375.1</v>
      </c>
      <c r="F27" s="19"/>
      <c r="G27" s="19"/>
      <c r="H27" s="19">
        <f>3583.3-SUM(H24:H26)</f>
        <v>1260.9</v>
      </c>
      <c r="I27" s="19">
        <f>C27+D27+E27</f>
        <v>-1796.767</v>
      </c>
      <c r="J27" s="19">
        <f>AVERAGE(I24:I27)</f>
        <v>-1058</v>
      </c>
      <c r="K27" s="19"/>
      <c r="L27" s="19">
        <f>-(H27-E27)+L26</f>
        <v>-23912.1</v>
      </c>
      <c r="M27" s="19"/>
    </row>
    <row r="28" ht="20.05" customHeight="1">
      <c r="A28" s="34">
        <v>2021</v>
      </c>
      <c r="B28" s="18">
        <v>2458</v>
      </c>
      <c r="C28" s="19">
        <v>806</v>
      </c>
      <c r="D28" s="19">
        <v>-830</v>
      </c>
      <c r="E28" s="19">
        <v>-289</v>
      </c>
      <c r="F28" s="19">
        <f>-117.983-E28</f>
        <v>171.017</v>
      </c>
      <c r="G28" s="19"/>
      <c r="H28" s="19">
        <v>-118</v>
      </c>
      <c r="I28" s="19">
        <f>C28+D28+E28</f>
        <v>-313</v>
      </c>
      <c r="J28" s="19">
        <f>AVERAGE(I25:I28)</f>
        <v>-1051.5</v>
      </c>
      <c r="K28" s="19"/>
      <c r="L28" s="19">
        <f>-(F28+G28)+L27</f>
        <v>-24083.117</v>
      </c>
      <c r="M28" s="19"/>
    </row>
    <row r="29" ht="20.05" customHeight="1">
      <c r="A29" s="33"/>
      <c r="B29" s="18">
        <v>2294</v>
      </c>
      <c r="C29" s="19">
        <v>982</v>
      </c>
      <c r="D29" s="19">
        <v>-933</v>
      </c>
      <c r="E29" s="19">
        <v>-276</v>
      </c>
      <c r="F29" s="19">
        <f>295.065-E29-E28-F28-G29-G28</f>
        <v>-8.489000000000001</v>
      </c>
      <c r="G29" s="19">
        <f>697.537</f>
        <v>697.537</v>
      </c>
      <c r="H29" s="19">
        <v>413</v>
      </c>
      <c r="I29" s="19">
        <f>C29+D29+E29</f>
        <v>-227</v>
      </c>
      <c r="J29" s="19">
        <f>AVERAGE(I26:I29)</f>
        <v>-669.5</v>
      </c>
      <c r="K29" s="19"/>
      <c r="L29" s="19">
        <f>-(F29+G29)+L28</f>
        <v>-24772.165</v>
      </c>
      <c r="M29" s="19"/>
    </row>
    <row r="30" ht="20.05" customHeight="1">
      <c r="A30" s="33"/>
      <c r="B30" s="18">
        <f>7329.4-SUM(B28:B29)</f>
        <v>2577.4</v>
      </c>
      <c r="C30" s="19">
        <f>2556.8-SUM(C28:C29)</f>
        <v>768.8</v>
      </c>
      <c r="D30" s="19">
        <f>-2091.1-SUM(D28:D29)</f>
        <v>-328.1</v>
      </c>
      <c r="E30" s="19">
        <f>-1087.7-SUM(E28:E29)</f>
        <v>-522.7</v>
      </c>
      <c r="F30" s="19">
        <f>-243.508-E30-E29-E28-F29-F28-G30-G29-G28</f>
        <v>-16.187</v>
      </c>
      <c r="G30" s="19">
        <f>581.597+116.254-G29</f>
        <v>0.314</v>
      </c>
      <c r="H30" s="19">
        <f>-243.5-SUM(H28:H29)</f>
        <v>-538.5</v>
      </c>
      <c r="I30" s="19">
        <f>C30+D30+E30</f>
        <v>-82</v>
      </c>
      <c r="J30" s="19">
        <f>AVERAGE(I27:I30)</f>
        <v>-604.69175</v>
      </c>
      <c r="K30" s="19"/>
      <c r="L30" s="19">
        <f>-(F30+G30)+L29</f>
        <v>-24756.292</v>
      </c>
      <c r="M30" s="19"/>
    </row>
    <row r="31" ht="20.05" customHeight="1">
      <c r="A31" s="33"/>
      <c r="B31" s="18">
        <f>10394-B30-B29-B28</f>
        <v>3064.6</v>
      </c>
      <c r="C31" s="19">
        <f>2871-C30-C29-C28</f>
        <v>314.2</v>
      </c>
      <c r="D31" s="19">
        <f>-2728-D30-D29-D28</f>
        <v>-636.9</v>
      </c>
      <c r="E31" s="19">
        <f>-1642-E30-E29-E28</f>
        <v>-554.3</v>
      </c>
      <c r="F31" s="19">
        <f>1325-1754-F30-F29-F28</f>
        <v>-575.341</v>
      </c>
      <c r="G31" s="19">
        <f>584+116-3-G30-G29</f>
        <v>-0.851</v>
      </c>
      <c r="H31" s="19">
        <f>-336-H30-H29-H28</f>
        <v>-92.5</v>
      </c>
      <c r="I31" s="19">
        <f>C31+D31+E31</f>
        <v>-877</v>
      </c>
      <c r="J31" s="19">
        <f>AVERAGE(I28:I31)</f>
        <v>-374.75</v>
      </c>
      <c r="K31" s="19">
        <f>J31</f>
        <v>-374.75</v>
      </c>
      <c r="L31" s="19">
        <f>-(F31+G31)+L30</f>
        <v>-24180.1</v>
      </c>
      <c r="M31" s="19">
        <f>L31</f>
        <v>-24180.1</v>
      </c>
    </row>
    <row r="32" ht="20.05" customHeight="1">
      <c r="A32" s="34">
        <v>2022</v>
      </c>
      <c r="B32" s="18"/>
      <c r="C32" s="19"/>
      <c r="D32" s="19"/>
      <c r="E32" s="19"/>
      <c r="F32" s="19"/>
      <c r="G32" s="19"/>
      <c r="H32" s="19"/>
      <c r="I32" s="24"/>
      <c r="J32" s="19"/>
      <c r="K32" s="19">
        <f>SUM('Model'!F9:F11)</f>
        <v>201.186961</v>
      </c>
      <c r="L32" s="19"/>
      <c r="M32" s="19">
        <f>'Model'!F33</f>
        <v>-25347.283219</v>
      </c>
    </row>
  </sheetData>
  <mergeCells count="1">
    <mergeCell ref="A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2.3516" style="37" customWidth="1"/>
    <col min="2" max="11" width="10.8828" style="37" customWidth="1"/>
    <col min="12" max="16384" width="16.3516" style="37" customWidth="1"/>
  </cols>
  <sheetData>
    <row r="1" ht="46.3" customHeight="1"/>
    <row r="2" ht="27.65" customHeight="1">
      <c r="B2" t="s" s="2">
        <v>49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6">
        <v>1</v>
      </c>
      <c r="C3" t="s" s="6">
        <v>50</v>
      </c>
      <c r="D3" t="s" s="6">
        <v>51</v>
      </c>
      <c r="E3" t="s" s="6">
        <v>52</v>
      </c>
      <c r="F3" t="s" s="6">
        <v>24</v>
      </c>
      <c r="G3" t="s" s="6">
        <v>12</v>
      </c>
      <c r="H3" t="s" s="6">
        <v>13</v>
      </c>
      <c r="I3" t="s" s="6">
        <v>53</v>
      </c>
      <c r="J3" t="s" s="6">
        <v>27</v>
      </c>
      <c r="K3" t="s" s="6">
        <v>34</v>
      </c>
    </row>
    <row r="4" ht="21.1" customHeight="1">
      <c r="B4" s="28">
        <v>2015</v>
      </c>
      <c r="C4" s="29">
        <v>427</v>
      </c>
      <c r="D4" s="31">
        <v>17591</v>
      </c>
      <c r="E4" s="31">
        <f>D4-C4</f>
        <v>17164</v>
      </c>
      <c r="F4" s="31">
        <v>5744</v>
      </c>
      <c r="G4" s="31">
        <v>14135</v>
      </c>
      <c r="H4" s="31">
        <v>3456</v>
      </c>
      <c r="I4" s="31">
        <f>G4+H4-C4-E4</f>
        <v>0</v>
      </c>
      <c r="J4" s="31">
        <f>C4-G4</f>
        <v>-13708</v>
      </c>
      <c r="K4" s="31"/>
    </row>
    <row r="5" ht="21.1" customHeight="1">
      <c r="B5" s="33"/>
      <c r="C5" s="18">
        <v>624</v>
      </c>
      <c r="D5" s="19">
        <v>18827</v>
      </c>
      <c r="E5" s="19">
        <f>D5-C5</f>
        <v>18203</v>
      </c>
      <c r="F5" s="19">
        <v>5983</v>
      </c>
      <c r="G5" s="19">
        <v>11836</v>
      </c>
      <c r="H5" s="19">
        <v>6992</v>
      </c>
      <c r="I5" s="19">
        <f>G5+H5-C5-E5</f>
        <v>1</v>
      </c>
      <c r="J5" s="19">
        <f>C5-G5</f>
        <v>-11212</v>
      </c>
      <c r="K5" s="19"/>
    </row>
    <row r="6" ht="21.1" customHeight="1">
      <c r="B6" s="33"/>
      <c r="C6" s="18">
        <v>577</v>
      </c>
      <c r="D6" s="19">
        <v>19557</v>
      </c>
      <c r="E6" s="19">
        <f>D6-C6</f>
        <v>18980</v>
      </c>
      <c r="F6" s="19">
        <v>6232</v>
      </c>
      <c r="G6" s="19">
        <v>13091</v>
      </c>
      <c r="H6" s="19">
        <v>6466</v>
      </c>
      <c r="I6" s="19">
        <f>G6+H6-C6-E6</f>
        <v>0</v>
      </c>
      <c r="J6" s="19">
        <f>C6-G6</f>
        <v>-12514</v>
      </c>
      <c r="K6" s="19"/>
    </row>
    <row r="7" ht="21.1" customHeight="1">
      <c r="B7" s="33"/>
      <c r="C7" s="18">
        <v>99</v>
      </c>
      <c r="D7" s="19">
        <v>20706</v>
      </c>
      <c r="E7" s="19">
        <f>D7-C7</f>
        <v>20607</v>
      </c>
      <c r="F7" s="19">
        <v>6149</v>
      </c>
      <c r="G7" s="19">
        <v>13857</v>
      </c>
      <c r="H7" s="19">
        <v>6849</v>
      </c>
      <c r="I7" s="19">
        <f>G7+H7-C7-E7</f>
        <v>0</v>
      </c>
      <c r="J7" s="19">
        <f>C7-G7</f>
        <v>-13758</v>
      </c>
      <c r="K7" s="19"/>
    </row>
    <row r="8" ht="21.1" customHeight="1">
      <c r="B8" s="34">
        <v>2016</v>
      </c>
      <c r="C8" s="18">
        <v>534</v>
      </c>
      <c r="D8" s="19">
        <v>20996</v>
      </c>
      <c r="E8" s="19">
        <f>D8-C8</f>
        <v>20462</v>
      </c>
      <c r="F8" s="19">
        <v>6585</v>
      </c>
      <c r="G8" s="19">
        <v>14414</v>
      </c>
      <c r="H8" s="19">
        <v>6583</v>
      </c>
      <c r="I8" s="19">
        <f>G8+H8-C8-E8</f>
        <v>1</v>
      </c>
      <c r="J8" s="19">
        <f>C8-G8</f>
        <v>-13880</v>
      </c>
      <c r="K8" s="19"/>
    </row>
    <row r="9" ht="20.9" customHeight="1">
      <c r="B9" s="33"/>
      <c r="C9" s="18">
        <v>619</v>
      </c>
      <c r="D9" s="19">
        <v>21129</v>
      </c>
      <c r="E9" s="19">
        <f>D9-C9</f>
        <v>20510</v>
      </c>
      <c r="F9" s="19">
        <v>6579</v>
      </c>
      <c r="G9" s="19">
        <v>14948</v>
      </c>
      <c r="H9" s="19">
        <v>6181</v>
      </c>
      <c r="I9" s="19">
        <f>G9+H9-C9-E9</f>
        <v>0</v>
      </c>
      <c r="J9" s="19">
        <f>C9-G9</f>
        <v>-14329</v>
      </c>
      <c r="K9" s="19"/>
    </row>
    <row r="10" ht="20.9" customHeight="1">
      <c r="B10" s="33"/>
      <c r="C10" s="18">
        <v>633</v>
      </c>
      <c r="D10" s="19">
        <v>21491</v>
      </c>
      <c r="E10" s="19">
        <f>D10-C10</f>
        <v>20858</v>
      </c>
      <c r="F10" s="19">
        <v>7020</v>
      </c>
      <c r="G10" s="19">
        <v>15928</v>
      </c>
      <c r="H10" s="19">
        <v>5564</v>
      </c>
      <c r="I10" s="19">
        <f>G10+H10-C10-E10</f>
        <v>1</v>
      </c>
      <c r="J10" s="19">
        <f>C10-G10</f>
        <v>-15295</v>
      </c>
      <c r="K10" s="19"/>
    </row>
    <row r="11" ht="20.9" customHeight="1">
      <c r="B11" s="33"/>
      <c r="C11" s="18">
        <v>210</v>
      </c>
      <c r="D11" s="19">
        <v>22807</v>
      </c>
      <c r="E11" s="19">
        <f>D11-C11</f>
        <v>22597</v>
      </c>
      <c r="F11" s="19">
        <v>7181</v>
      </c>
      <c r="G11" s="19">
        <v>16938</v>
      </c>
      <c r="H11" s="19">
        <v>5869</v>
      </c>
      <c r="I11" s="19">
        <f>G11+H11-C11-E11</f>
        <v>0</v>
      </c>
      <c r="J11" s="19">
        <f>C11-G11</f>
        <v>-16728</v>
      </c>
      <c r="K11" s="19"/>
    </row>
    <row r="12" ht="20.9" customHeight="1">
      <c r="B12" s="34">
        <v>2017</v>
      </c>
      <c r="C12" s="18">
        <v>149</v>
      </c>
      <c r="D12" s="19">
        <v>23007</v>
      </c>
      <c r="E12" s="19">
        <f>D12-C12</f>
        <v>22858</v>
      </c>
      <c r="F12" s="19">
        <v>7596</v>
      </c>
      <c r="G12" s="19">
        <v>17893</v>
      </c>
      <c r="H12" s="19">
        <v>5115</v>
      </c>
      <c r="I12" s="19">
        <f>G12+H12-C12-E12</f>
        <v>1</v>
      </c>
      <c r="J12" s="19">
        <f>C12-G12</f>
        <v>-17744</v>
      </c>
      <c r="K12" s="19"/>
    </row>
    <row r="13" ht="20.9" customHeight="1">
      <c r="B13" s="33"/>
      <c r="C13" s="18">
        <v>163</v>
      </c>
      <c r="D13" s="19">
        <v>23350</v>
      </c>
      <c r="E13" s="19">
        <f>D13-C13</f>
        <v>23187</v>
      </c>
      <c r="F13" s="19">
        <v>7778</v>
      </c>
      <c r="G13" s="19">
        <v>17247</v>
      </c>
      <c r="H13" s="19">
        <v>6103</v>
      </c>
      <c r="I13" s="19">
        <f>G13+H13-C13-E13</f>
        <v>0</v>
      </c>
      <c r="J13" s="19">
        <f>C13-G13</f>
        <v>-17084</v>
      </c>
      <c r="K13" s="19"/>
    </row>
    <row r="14" ht="20.9" customHeight="1">
      <c r="B14" s="33"/>
      <c r="C14" s="18">
        <v>164</v>
      </c>
      <c r="D14" s="19">
        <v>22368</v>
      </c>
      <c r="E14" s="19">
        <f>D14-C14</f>
        <v>22204</v>
      </c>
      <c r="F14" s="19">
        <v>7616</v>
      </c>
      <c r="G14" s="19">
        <v>17921</v>
      </c>
      <c r="H14" s="19">
        <v>4447</v>
      </c>
      <c r="I14" s="19">
        <f>G14+H14-C14-E14</f>
        <v>0</v>
      </c>
      <c r="J14" s="19">
        <f>C14-G14</f>
        <v>-17757</v>
      </c>
      <c r="K14" s="19"/>
    </row>
    <row r="15" ht="20.9" customHeight="1">
      <c r="B15" s="33"/>
      <c r="C15" s="18">
        <v>442</v>
      </c>
      <c r="D15" s="19">
        <v>24114</v>
      </c>
      <c r="E15" s="19">
        <f>D15-C15</f>
        <v>23672</v>
      </c>
      <c r="F15" s="19">
        <v>8163</v>
      </c>
      <c r="G15" s="19">
        <v>14869</v>
      </c>
      <c r="H15" s="19">
        <v>9245</v>
      </c>
      <c r="I15" s="19">
        <f>G15+H15-C15-E15</f>
        <v>0</v>
      </c>
      <c r="J15" s="19">
        <f>C15-G15</f>
        <v>-14427</v>
      </c>
      <c r="K15" s="19"/>
    </row>
    <row r="16" ht="20.9" customHeight="1">
      <c r="B16" s="34">
        <v>2018</v>
      </c>
      <c r="C16" s="18">
        <v>193</v>
      </c>
      <c r="D16" s="19">
        <v>24201</v>
      </c>
      <c r="E16" s="19">
        <f>D16-C16</f>
        <v>24008</v>
      </c>
      <c r="F16" s="19">
        <v>8264</v>
      </c>
      <c r="G16" s="19">
        <v>15642</v>
      </c>
      <c r="H16" s="19">
        <v>8560</v>
      </c>
      <c r="I16" s="19">
        <f>G16+H16-C16-E16</f>
        <v>1</v>
      </c>
      <c r="J16" s="19">
        <f>C16-G16</f>
        <v>-15449</v>
      </c>
      <c r="K16" s="19"/>
    </row>
    <row r="17" ht="20.9" customHeight="1">
      <c r="B17" s="33"/>
      <c r="C17" s="18">
        <v>240</v>
      </c>
      <c r="D17" s="19">
        <v>24099</v>
      </c>
      <c r="E17" s="19">
        <f>D17-C17</f>
        <v>23859</v>
      </c>
      <c r="F17" s="19">
        <v>8623</v>
      </c>
      <c r="G17" s="19">
        <v>16485</v>
      </c>
      <c r="H17" s="19">
        <v>7614</v>
      </c>
      <c r="I17" s="19">
        <f>G17+H17-C17-E17</f>
        <v>0</v>
      </c>
      <c r="J17" s="19">
        <f>C17-G17</f>
        <v>-16245</v>
      </c>
      <c r="K17" s="19"/>
    </row>
    <row r="18" ht="20.9" customHeight="1">
      <c r="B18" s="33"/>
      <c r="C18" s="18">
        <v>296</v>
      </c>
      <c r="D18" s="19">
        <v>25536</v>
      </c>
      <c r="E18" s="19">
        <f>D18-C18</f>
        <v>25240</v>
      </c>
      <c r="F18" s="19">
        <v>8989</v>
      </c>
      <c r="G18" s="19">
        <v>18776</v>
      </c>
      <c r="H18" s="19">
        <v>6760</v>
      </c>
      <c r="I18" s="19">
        <f>G18+H18-C18-E18</f>
        <v>0</v>
      </c>
      <c r="J18" s="19">
        <f>C18-G18</f>
        <v>-18480</v>
      </c>
      <c r="K18" s="19"/>
    </row>
    <row r="19" ht="20.9" customHeight="1">
      <c r="B19" s="33"/>
      <c r="C19" s="18">
        <v>405</v>
      </c>
      <c r="D19" s="19">
        <v>25213</v>
      </c>
      <c r="E19" s="19">
        <f>D19-C19</f>
        <v>24808</v>
      </c>
      <c r="F19" s="19">
        <v>9394</v>
      </c>
      <c r="G19" s="19">
        <v>12765</v>
      </c>
      <c r="H19" s="19">
        <v>12448</v>
      </c>
      <c r="I19" s="19">
        <f>G19+H19-C19-E19</f>
        <v>0</v>
      </c>
      <c r="J19" s="19">
        <f>C19-G19</f>
        <v>-12360</v>
      </c>
      <c r="K19" s="19"/>
    </row>
    <row r="20" ht="20.9" customHeight="1">
      <c r="B20" s="34">
        <v>2019</v>
      </c>
      <c r="C20" s="18">
        <v>328</v>
      </c>
      <c r="D20" s="19">
        <v>25439</v>
      </c>
      <c r="E20" s="19">
        <f>D20-C20</f>
        <v>25111</v>
      </c>
      <c r="F20" s="19">
        <v>9857</v>
      </c>
      <c r="G20" s="19">
        <v>13415</v>
      </c>
      <c r="H20" s="19">
        <v>12023</v>
      </c>
      <c r="I20" s="19">
        <f>G20+H20-C20-E20</f>
        <v>-1</v>
      </c>
      <c r="J20" s="19">
        <f>C20-G20</f>
        <v>-13087</v>
      </c>
      <c r="K20" s="19"/>
    </row>
    <row r="21" ht="20.9" customHeight="1">
      <c r="B21" s="33"/>
      <c r="C21" s="18">
        <v>206</v>
      </c>
      <c r="D21" s="19">
        <v>25367</v>
      </c>
      <c r="E21" s="19">
        <f>D21-C21</f>
        <v>25161</v>
      </c>
      <c r="F21" s="19">
        <v>10322</v>
      </c>
      <c r="G21" s="19">
        <v>13986</v>
      </c>
      <c r="H21" s="19">
        <v>11381</v>
      </c>
      <c r="I21" s="19">
        <f>G21+H21-C21-E21</f>
        <v>0</v>
      </c>
      <c r="J21" s="19">
        <f>C21-G21</f>
        <v>-13780</v>
      </c>
      <c r="K21" s="19"/>
    </row>
    <row r="22" ht="20.9" customHeight="1">
      <c r="B22" s="33"/>
      <c r="C22" s="18">
        <v>368</v>
      </c>
      <c r="D22" s="19">
        <v>26747</v>
      </c>
      <c r="E22" s="19">
        <f>D22-C22</f>
        <v>26379</v>
      </c>
      <c r="F22" s="19">
        <f>10862+6553</f>
        <v>17415</v>
      </c>
      <c r="G22" s="19">
        <v>14563</v>
      </c>
      <c r="H22" s="19">
        <v>12184</v>
      </c>
      <c r="I22" s="19">
        <f>G22+H22-C22-E22</f>
        <v>0</v>
      </c>
      <c r="J22" s="19">
        <f>C22-G22</f>
        <v>-14195</v>
      </c>
      <c r="K22" s="19"/>
    </row>
    <row r="23" ht="20.9" customHeight="1">
      <c r="B23" s="33"/>
      <c r="C23" s="18">
        <v>197</v>
      </c>
      <c r="D23" s="19">
        <v>27650</v>
      </c>
      <c r="E23" s="19">
        <f>D23-C23</f>
        <v>27453</v>
      </c>
      <c r="F23" s="19">
        <f>11427+6928</f>
        <v>18355</v>
      </c>
      <c r="G23" s="19">
        <v>14915</v>
      </c>
      <c r="H23" s="19">
        <v>12735</v>
      </c>
      <c r="I23" s="19">
        <f>G23+H23-C23-E23</f>
        <v>0</v>
      </c>
      <c r="J23" s="19">
        <f>C23-G23</f>
        <v>-14718</v>
      </c>
      <c r="K23" s="24"/>
    </row>
    <row r="24" ht="20.9" customHeight="1">
      <c r="B24" s="34">
        <v>2020</v>
      </c>
      <c r="C24" s="18">
        <v>180</v>
      </c>
      <c r="D24" s="19">
        <v>33089</v>
      </c>
      <c r="E24" s="19">
        <f>D24-C24</f>
        <v>32909</v>
      </c>
      <c r="F24" s="19">
        <f>12251+7170</f>
        <v>19421</v>
      </c>
      <c r="G24" s="19">
        <v>22130.5</v>
      </c>
      <c r="H24" s="19">
        <v>10958.3</v>
      </c>
      <c r="I24" s="19">
        <f>G24+H24-C24-E24</f>
        <v>-0.2</v>
      </c>
      <c r="J24" s="19">
        <f>C24-G24</f>
        <v>-21950.5</v>
      </c>
      <c r="K24" s="24"/>
    </row>
    <row r="25" ht="20.9" customHeight="1">
      <c r="B25" s="33"/>
      <c r="C25" s="18">
        <v>349</v>
      </c>
      <c r="D25" s="19">
        <v>34769</v>
      </c>
      <c r="E25" s="19">
        <f>D25-C25</f>
        <v>34420</v>
      </c>
      <c r="F25" s="19">
        <f>13151+7414</f>
        <v>20565</v>
      </c>
      <c r="G25" s="19">
        <v>23256</v>
      </c>
      <c r="H25" s="19">
        <v>11513</v>
      </c>
      <c r="I25" s="19">
        <f>G25+H25-C25-E25</f>
        <v>0</v>
      </c>
      <c r="J25" s="19">
        <f>C25-G25</f>
        <v>-22907</v>
      </c>
      <c r="K25" s="24"/>
    </row>
    <row r="26" ht="20.9" customHeight="1">
      <c r="B26" s="33"/>
      <c r="C26" s="18">
        <v>820</v>
      </c>
      <c r="D26" s="19">
        <v>35801</v>
      </c>
      <c r="E26" s="19">
        <f>D26-C26</f>
        <v>34981</v>
      </c>
      <c r="F26" s="19">
        <f>14120+7463</f>
        <v>21583</v>
      </c>
      <c r="G26" s="19">
        <v>24817</v>
      </c>
      <c r="H26" s="19">
        <v>10984</v>
      </c>
      <c r="I26" s="19">
        <f>G26+H26-C26-E26</f>
        <v>0</v>
      </c>
      <c r="J26" s="19">
        <f>C26-G26</f>
        <v>-23997</v>
      </c>
      <c r="K26" s="24"/>
    </row>
    <row r="27" ht="20.9" customHeight="1">
      <c r="B27" s="33"/>
      <c r="C27" s="18">
        <v>654</v>
      </c>
      <c r="D27" s="19">
        <v>38684</v>
      </c>
      <c r="E27" s="19">
        <f>D27-C27</f>
        <v>38030</v>
      </c>
      <c r="F27" s="19">
        <f>14098+7499</f>
        <v>21597</v>
      </c>
      <c r="G27" s="19">
        <v>26318</v>
      </c>
      <c r="H27" s="19">
        <v>12366</v>
      </c>
      <c r="I27" s="19">
        <f>G27+H27-C27-E27</f>
        <v>0</v>
      </c>
      <c r="J27" s="19">
        <f>C27-G27</f>
        <v>-25664</v>
      </c>
      <c r="K27" s="24"/>
    </row>
    <row r="28" ht="20.9" customHeight="1">
      <c r="B28" s="34">
        <v>2021</v>
      </c>
      <c r="C28" s="18">
        <v>520</v>
      </c>
      <c r="D28" s="19">
        <v>38746</v>
      </c>
      <c r="E28" s="19">
        <f>D28-C28</f>
        <v>38226</v>
      </c>
      <c r="F28" s="19">
        <f>14786+7546</f>
        <v>22332</v>
      </c>
      <c r="G28" s="19">
        <v>26777</v>
      </c>
      <c r="H28" s="19">
        <v>11969</v>
      </c>
      <c r="I28" s="19">
        <f>G28+H28-C28-E28</f>
        <v>0</v>
      </c>
      <c r="J28" s="19">
        <f>C28-G28</f>
        <v>-26257</v>
      </c>
      <c r="K28" s="19"/>
    </row>
    <row r="29" ht="20.9" customHeight="1">
      <c r="B29" s="33"/>
      <c r="C29" s="18">
        <v>980</v>
      </c>
      <c r="D29" s="19">
        <v>41768</v>
      </c>
      <c r="E29" s="19">
        <f>D29-C29</f>
        <v>40788</v>
      </c>
      <c r="F29" s="19">
        <f>F28+'Sales'!E29</f>
        <v>23295.25</v>
      </c>
      <c r="G29" s="19">
        <v>29159</v>
      </c>
      <c r="H29" s="19">
        <v>12609</v>
      </c>
      <c r="I29" s="19">
        <f>G29+H29-C29-E29</f>
        <v>0</v>
      </c>
      <c r="J29" s="19">
        <f>C29-G29</f>
        <v>-28179</v>
      </c>
      <c r="K29" s="19"/>
    </row>
    <row r="30" ht="20.9" customHeight="1">
      <c r="B30" s="33"/>
      <c r="C30" s="18">
        <v>879</v>
      </c>
      <c r="D30" s="19">
        <v>41730</v>
      </c>
      <c r="E30" s="19">
        <f>D30-C30</f>
        <v>40851</v>
      </c>
      <c r="F30" s="19">
        <f>15698+7595</f>
        <v>23293</v>
      </c>
      <c r="G30" s="19">
        <v>29111</v>
      </c>
      <c r="H30" s="19">
        <v>12619</v>
      </c>
      <c r="I30" s="19">
        <f>G30+H30-C30-E30</f>
        <v>0</v>
      </c>
      <c r="J30" s="19">
        <f>C30-G30</f>
        <v>-28232</v>
      </c>
      <c r="K30" s="19"/>
    </row>
    <row r="31" ht="20.9" customHeight="1">
      <c r="B31" s="33"/>
      <c r="C31" s="18">
        <v>463</v>
      </c>
      <c r="D31" s="19">
        <v>43358</v>
      </c>
      <c r="E31" s="19">
        <f>D31-C31</f>
        <v>42895</v>
      </c>
      <c r="F31" s="19">
        <f>F30+'Sales'!E31</f>
        <v>24256.25</v>
      </c>
      <c r="G31" s="19">
        <v>30704</v>
      </c>
      <c r="H31" s="19">
        <f>D31-G31</f>
        <v>12654</v>
      </c>
      <c r="I31" s="19">
        <f>G31+H31-C31-E31</f>
        <v>0</v>
      </c>
      <c r="J31" s="19">
        <f>C31-G31</f>
        <v>-30241</v>
      </c>
      <c r="K31" s="19">
        <f>J31</f>
        <v>-30241</v>
      </c>
    </row>
    <row r="32" ht="20.9" customHeight="1">
      <c r="B32" s="34">
        <v>2022</v>
      </c>
      <c r="C32" s="18"/>
      <c r="D32" s="19"/>
      <c r="E32" s="19"/>
      <c r="F32" s="19"/>
      <c r="G32" s="19"/>
      <c r="H32" s="19"/>
      <c r="I32" s="19"/>
      <c r="J32" s="19"/>
      <c r="K32" s="19">
        <f>'Model'!F31</f>
        <v>-28170.1065752</v>
      </c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21"/>
  <sheetViews>
    <sheetView workbookViewId="0" showGridLines="0" defaultGridColor="1"/>
  </sheetViews>
  <sheetFormatPr defaultColWidth="8.33333" defaultRowHeight="19.9" customHeight="1" outlineLevelRow="0" outlineLevelCol="0"/>
  <cols>
    <col min="1" max="1" width="9.72656" style="38" customWidth="1"/>
    <col min="2" max="2" width="9.35156" style="38" customWidth="1"/>
    <col min="3" max="4" width="9.60156" style="38" customWidth="1"/>
    <col min="5" max="16384" width="8.35156" style="38" customWidth="1"/>
  </cols>
  <sheetData>
    <row r="1" ht="20.5" customHeight="1"/>
    <row r="2" ht="27.65" customHeight="1">
      <c r="B2" t="s" s="2">
        <v>54</v>
      </c>
      <c r="C2" s="2"/>
      <c r="D2" s="2"/>
    </row>
    <row r="3" ht="20.25" customHeight="1">
      <c r="B3" t="s" s="39">
        <v>55</v>
      </c>
      <c r="C3" t="s" s="39">
        <v>56</v>
      </c>
      <c r="D3" t="s" s="39">
        <v>37</v>
      </c>
    </row>
    <row r="4" ht="20.25" customHeight="1">
      <c r="B4" s="40">
        <v>2018</v>
      </c>
      <c r="C4" s="41">
        <v>50</v>
      </c>
      <c r="D4" s="42"/>
    </row>
    <row r="5" ht="20.05" customHeight="1">
      <c r="B5" s="43"/>
      <c r="C5" s="44">
        <v>76</v>
      </c>
      <c r="D5" s="45"/>
    </row>
    <row r="6" ht="20.05" customHeight="1">
      <c r="B6" s="43"/>
      <c r="C6" s="44">
        <v>113</v>
      </c>
      <c r="D6" s="45"/>
    </row>
    <row r="7" ht="20.05" customHeight="1">
      <c r="B7" s="43"/>
      <c r="C7" s="44">
        <v>78</v>
      </c>
      <c r="D7" s="45"/>
    </row>
    <row r="8" ht="20.05" customHeight="1">
      <c r="B8" s="46">
        <v>2019</v>
      </c>
      <c r="C8" s="44">
        <v>310</v>
      </c>
      <c r="D8" s="45"/>
    </row>
    <row r="9" ht="20.05" customHeight="1">
      <c r="B9" s="43"/>
      <c r="C9" s="44">
        <v>320</v>
      </c>
      <c r="D9" s="45"/>
    </row>
    <row r="10" ht="20.05" customHeight="1">
      <c r="B10" s="43"/>
      <c r="C10" s="44">
        <v>170</v>
      </c>
      <c r="D10" s="45"/>
    </row>
    <row r="11" ht="20.05" customHeight="1">
      <c r="B11" s="43"/>
      <c r="C11" s="44">
        <v>138</v>
      </c>
      <c r="D11" s="45"/>
    </row>
    <row r="12" ht="20.05" customHeight="1">
      <c r="B12" s="46">
        <v>2020</v>
      </c>
      <c r="C12" s="44">
        <v>62</v>
      </c>
      <c r="D12" s="45"/>
    </row>
    <row r="13" ht="20.05" customHeight="1">
      <c r="B13" s="43"/>
      <c r="C13" s="44">
        <v>97</v>
      </c>
      <c r="D13" s="45"/>
    </row>
    <row r="14" ht="20.05" customHeight="1">
      <c r="B14" s="43"/>
      <c r="C14" s="47">
        <v>75</v>
      </c>
      <c r="D14" s="45"/>
    </row>
    <row r="15" ht="20.05" customHeight="1">
      <c r="B15" s="43"/>
      <c r="C15" s="47">
        <v>67</v>
      </c>
      <c r="D15" s="45"/>
    </row>
    <row r="16" ht="20.05" customHeight="1">
      <c r="B16" s="46">
        <v>2021</v>
      </c>
      <c r="C16" s="47">
        <v>77</v>
      </c>
      <c r="D16" s="45"/>
    </row>
    <row r="17" ht="20.05" customHeight="1">
      <c r="B17" s="43"/>
      <c r="C17" s="47">
        <v>118</v>
      </c>
      <c r="D17" s="45"/>
    </row>
    <row r="18" ht="20.05" customHeight="1">
      <c r="B18" s="43"/>
      <c r="C18" s="47">
        <v>112</v>
      </c>
      <c r="D18" s="45"/>
    </row>
    <row r="19" ht="20.05" customHeight="1">
      <c r="B19" s="43"/>
      <c r="C19" s="47">
        <v>87</v>
      </c>
      <c r="D19" s="45"/>
    </row>
    <row r="20" ht="20.05" customHeight="1">
      <c r="B20" s="46">
        <v>2022</v>
      </c>
      <c r="C20" s="47">
        <v>81</v>
      </c>
      <c r="D20" s="48">
        <f>C20</f>
        <v>81</v>
      </c>
    </row>
    <row r="21" ht="20.05" customHeight="1">
      <c r="B21" s="43"/>
      <c r="C21" s="47"/>
      <c r="D21" s="48">
        <f>'Model'!F44</f>
        <v>91.4251681994545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5" width="12.8828" style="49" customWidth="1"/>
    <col min="6" max="16384" width="16.3516" style="49" customWidth="1"/>
  </cols>
  <sheetData>
    <row r="1" ht="27.65" customHeight="1">
      <c r="A1" t="s" s="2">
        <v>57</v>
      </c>
      <c r="B1" s="2"/>
      <c r="C1" s="2"/>
      <c r="D1" s="2"/>
      <c r="E1" s="2"/>
    </row>
    <row r="2" ht="20.25" customHeight="1">
      <c r="A2" s="5"/>
      <c r="B2" t="s" s="6">
        <v>12</v>
      </c>
      <c r="C2" t="s" s="6">
        <v>13</v>
      </c>
      <c r="D2" t="s" s="6">
        <v>58</v>
      </c>
      <c r="E2" t="s" s="6">
        <v>58</v>
      </c>
    </row>
    <row r="3" ht="20.25" customHeight="1">
      <c r="A3" s="28">
        <v>2010</v>
      </c>
      <c r="B3" s="29">
        <v>948</v>
      </c>
      <c r="C3" s="31"/>
      <c r="D3" s="31">
        <f>B3+C3</f>
        <v>948</v>
      </c>
      <c r="E3" s="31">
        <f>D3</f>
        <v>948</v>
      </c>
    </row>
    <row r="4" ht="20.05" customHeight="1">
      <c r="A4" s="34">
        <f>1+$A3</f>
        <v>2011</v>
      </c>
      <c r="B4" s="18">
        <v>2684</v>
      </c>
      <c r="C4" s="19">
        <v>10</v>
      </c>
      <c r="D4" s="19">
        <f>B4+C4</f>
        <v>2694</v>
      </c>
      <c r="E4" s="19">
        <f>D4+E3</f>
        <v>3642</v>
      </c>
    </row>
    <row r="5" ht="20.05" customHeight="1">
      <c r="A5" s="34">
        <f>1+$A4</f>
        <v>2012</v>
      </c>
      <c r="B5" s="18">
        <v>-911</v>
      </c>
      <c r="C5" s="19">
        <v>2882</v>
      </c>
      <c r="D5" s="19">
        <f>B5+C5</f>
        <v>1971</v>
      </c>
      <c r="E5" s="19">
        <f>D5+E4</f>
        <v>5613</v>
      </c>
    </row>
    <row r="6" ht="20.05" customHeight="1">
      <c r="A6" s="34">
        <f>1+$A5</f>
        <v>2013</v>
      </c>
      <c r="B6" s="18">
        <v>2536</v>
      </c>
      <c r="C6" s="19"/>
      <c r="D6" s="19">
        <f>B6+C6</f>
        <v>2536</v>
      </c>
      <c r="E6" s="19">
        <f>D6+E5</f>
        <v>8149</v>
      </c>
    </row>
    <row r="7" ht="20.05" customHeight="1">
      <c r="A7" s="34">
        <f>1+$A6</f>
        <v>2014</v>
      </c>
      <c r="B7" s="18">
        <v>-211</v>
      </c>
      <c r="C7" s="19">
        <v>2200</v>
      </c>
      <c r="D7" s="19">
        <f>B7+C7</f>
        <v>1989</v>
      </c>
      <c r="E7" s="19">
        <f>D7+E6</f>
        <v>10138</v>
      </c>
    </row>
    <row r="8" ht="20.05" customHeight="1">
      <c r="A8" s="34">
        <f>1+$A7</f>
        <v>2015</v>
      </c>
      <c r="B8" s="18">
        <v>-1060</v>
      </c>
      <c r="C8" s="19">
        <v>4400</v>
      </c>
      <c r="D8" s="19">
        <f>B8+C8</f>
        <v>3340</v>
      </c>
      <c r="E8" s="19">
        <f>D8+E7</f>
        <v>13478</v>
      </c>
    </row>
    <row r="9" ht="20.05" customHeight="1">
      <c r="A9" s="34">
        <f>1+$A8</f>
        <v>2016</v>
      </c>
      <c r="B9" s="18">
        <v>2558</v>
      </c>
      <c r="C9" s="19">
        <v>1000</v>
      </c>
      <c r="D9" s="19">
        <f>B9+C9</f>
        <v>3558</v>
      </c>
      <c r="E9" s="19">
        <f>D9+E8</f>
        <v>17036</v>
      </c>
    </row>
    <row r="10" ht="20.05" customHeight="1">
      <c r="A10" s="34">
        <f>1+$A9</f>
        <v>2017</v>
      </c>
      <c r="B10" s="18">
        <v>-1296</v>
      </c>
      <c r="C10" s="19">
        <v>6400</v>
      </c>
      <c r="D10" s="19">
        <f>B10+C10</f>
        <v>5104</v>
      </c>
      <c r="E10" s="19">
        <f>D10+E9</f>
        <v>22140</v>
      </c>
    </row>
    <row r="11" ht="20.05" customHeight="1">
      <c r="A11" s="34">
        <f>1+$A10</f>
        <v>2018</v>
      </c>
      <c r="B11" s="18">
        <v>-2606</v>
      </c>
      <c r="C11" s="19">
        <v>6740</v>
      </c>
      <c r="D11" s="19">
        <f>B11+C11</f>
        <v>4134</v>
      </c>
      <c r="E11" s="19">
        <f>D11+E10</f>
        <v>26274</v>
      </c>
    </row>
    <row r="12" ht="20.05" customHeight="1">
      <c r="A12" s="34">
        <f>1+$A11</f>
        <v>2019</v>
      </c>
      <c r="B12" s="18">
        <v>1207</v>
      </c>
      <c r="C12" s="19">
        <v>2485</v>
      </c>
      <c r="D12" s="19">
        <f>B12+C12</f>
        <v>3692</v>
      </c>
      <c r="E12" s="19">
        <f>D12+E11</f>
        <v>29966</v>
      </c>
    </row>
    <row r="13" ht="20.05" customHeight="1">
      <c r="A13" s="34">
        <f>1+$A12</f>
        <v>2020</v>
      </c>
      <c r="B13" s="18">
        <v>3558</v>
      </c>
      <c r="C13" s="19">
        <v>1130</v>
      </c>
      <c r="D13" s="19">
        <f>B13+C13</f>
        <v>4688</v>
      </c>
      <c r="E13" s="19">
        <f>D13+E12</f>
        <v>34654</v>
      </c>
    </row>
    <row r="14" ht="20.05" customHeight="1">
      <c r="A14" s="34">
        <f>1+$A13</f>
        <v>2021</v>
      </c>
      <c r="B14" s="18">
        <f>SUM('Cashflow'!F28:F31)</f>
        <v>-429</v>
      </c>
      <c r="C14" s="19">
        <f>SUM('Cashflow'!G28:G31)</f>
        <v>697</v>
      </c>
      <c r="D14" s="19">
        <f>B14+C14</f>
        <v>268</v>
      </c>
      <c r="E14" s="19">
        <f>D14+E13</f>
        <v>34922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