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 " sheetId="4" r:id="rId7"/>
    <sheet name="Share price" sheetId="5" r:id="rId8"/>
  </sheets>
</workbook>
</file>

<file path=xl/sharedStrings.xml><?xml version="1.0" encoding="utf-8"?>
<sst xmlns="http://schemas.openxmlformats.org/spreadsheetml/2006/main" uniqueCount="62">
  <si>
    <t>Financial model</t>
  </si>
  <si>
    <t>Rp bn</t>
  </si>
  <si>
    <t>4Q 2023</t>
  </si>
  <si>
    <t xml:space="preserve">Cashflow </t>
  </si>
  <si>
    <t>Growth</t>
  </si>
  <si>
    <t>Sales</t>
  </si>
  <si>
    <t>Cost ratio</t>
  </si>
  <si>
    <t>Cash costs</t>
  </si>
  <si>
    <t>Operating</t>
  </si>
  <si>
    <t>Investment</t>
  </si>
  <si>
    <t>Leases</t>
  </si>
  <si>
    <t>Finance</t>
  </si>
  <si>
    <t xml:space="preserve">Liabilities </t>
  </si>
  <si>
    <t>Revolver</t>
  </si>
  <si>
    <t xml:space="preserve">Payout </t>
  </si>
  <si>
    <t>Equity</t>
  </si>
  <si>
    <t>Before revolver</t>
  </si>
  <si>
    <t>Beginning</t>
  </si>
  <si>
    <t>Change</t>
  </si>
  <si>
    <t>Ending</t>
  </si>
  <si>
    <t>Profit</t>
  </si>
  <si>
    <t xml:space="preserve">Non cash costs </t>
  </si>
  <si>
    <t>Net profit</t>
  </si>
  <si>
    <t>Balance sheet</t>
  </si>
  <si>
    <t>Other ST assets</t>
  </si>
  <si>
    <t xml:space="preserve">Depreciation </t>
  </si>
  <si>
    <t>Net LT assets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</si>
  <si>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</si>
  <si>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</si>
  <si>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</si>
  <si>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</si>
  <si>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</si>
  <si>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</si>
  <si>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</si>
  <si>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</si>
  <si>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</si>
  <si>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</si>
  <si>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</si>
  <si>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</si>
  <si>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</si>
  <si>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>FAST.JK</t>
  </si>
  <si>
    <t xml:space="preserve">V target </t>
  </si>
  <si>
    <t xml:space="preserve">12 month growth </t>
  </si>
  <si>
    <t xml:space="preserve">Sales forecasts </t>
  </si>
  <si>
    <t>Rpbn</t>
  </si>
  <si>
    <t xml:space="preserve">Net sales </t>
  </si>
  <si>
    <t xml:space="preserve">Profit </t>
  </si>
  <si>
    <t xml:space="preserve">Sales growth </t>
  </si>
  <si>
    <t xml:space="preserve">Cost ratio </t>
  </si>
  <si>
    <t>Receipts</t>
  </si>
  <si>
    <t>Bond interest</t>
  </si>
  <si>
    <t xml:space="preserve">Operating </t>
  </si>
  <si>
    <t xml:space="preserve">Investment </t>
  </si>
  <si>
    <t xml:space="preserve">Equity </t>
  </si>
  <si>
    <t xml:space="preserve">Free cashflow </t>
  </si>
  <si>
    <t xml:space="preserve">Cash </t>
  </si>
  <si>
    <t>Assets</t>
  </si>
  <si>
    <t>Other assets</t>
  </si>
  <si>
    <t xml:space="preserve">Net cash </t>
  </si>
  <si>
    <t>Share price</t>
  </si>
  <si>
    <t>FAST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</si>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</sst>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6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8" applyNumberFormat="0" applyFont="1" applyFill="1" applyBorder="1" applyAlignment="1" applyProtection="0">
      <alignment vertical="top" wrapText="1"/>
    </xf>
    <xf numFmtId="49" fontId="2" fillId="2" borderId="9" applyNumberFormat="1" applyFont="1" applyFill="1" applyBorder="1" applyAlignment="1" applyProtection="0">
      <alignment horizontal="right" vertical="top" wrapText="1"/>
    </xf>
    <xf numFmtId="49" fontId="2" fillId="2" borderId="10" applyNumberFormat="1" applyFont="1" applyFill="1" applyBorder="1" applyAlignment="1" applyProtection="0">
      <alignment horizontal="right" vertical="top" wrapText="1"/>
    </xf>
    <xf numFmtId="0" fontId="2" fillId="4" borderId="11" applyNumberFormat="1" applyFont="1" applyFill="1" applyBorder="1" applyAlignment="1" applyProtection="0">
      <alignment vertical="top" wrapText="1"/>
    </xf>
    <xf numFmtId="1" fontId="3" borderId="12" applyNumberFormat="1" applyFont="1" applyFill="0" applyBorder="1" applyAlignment="1" applyProtection="0">
      <alignment horizontal="right" vertical="center" wrapText="1" readingOrder="1"/>
    </xf>
    <xf numFmtId="3" fontId="4" borderId="13" applyNumberFormat="1" applyFont="1" applyFill="0" applyBorder="1" applyAlignment="1" applyProtection="0">
      <alignment horizontal="right" vertical="center" wrapText="1" readingOrder="1"/>
    </xf>
    <xf numFmtId="0" fontId="2" fillId="4" borderId="14" applyNumberFormat="0" applyFont="1" applyFill="1" applyBorder="1" applyAlignment="1" applyProtection="0">
      <alignment vertical="top" wrapText="1"/>
    </xf>
    <xf numFmtId="0" fontId="2" fillId="4" borderId="14" applyNumberFormat="1" applyFont="1" applyFill="1" applyBorder="1" applyAlignment="1" applyProtection="0">
      <alignment vertical="top" wrapText="1"/>
    </xf>
    <xf numFmtId="3" fontId="3" borderId="12" applyNumberFormat="1" applyFont="1" applyFill="0" applyBorder="1" applyAlignment="1" applyProtection="0">
      <alignment horizontal="right" vertical="center" wrapText="1" readingOrder="1"/>
    </xf>
    <xf numFmtId="1" fontId="0" borderId="13" applyNumberFormat="1" applyFont="1" applyFill="0" applyBorder="1" applyAlignment="1" applyProtection="0">
      <alignment horizontal="right" vertical="top" wrapText="1"/>
    </xf>
    <xf numFmtId="0" fontId="2" fillId="4" borderId="15" applyNumberFormat="0" applyFont="1" applyFill="1" applyBorder="1" applyAlignment="1" applyProtection="0">
      <alignment vertical="top" wrapText="1"/>
    </xf>
    <xf numFmtId="1" fontId="3" borderId="16" applyNumberFormat="1" applyFont="1" applyFill="0" applyBorder="1" applyAlignment="1" applyProtection="0">
      <alignment horizontal="right" vertical="center" wrapText="1" readingOrder="1"/>
    </xf>
    <xf numFmtId="0" fontId="0" borderId="17" applyNumberFormat="0" applyFont="1" applyFill="0" applyBorder="1" applyAlignment="1" applyProtection="0">
      <alignment vertical="top" wrapText="1"/>
    </xf>
    <xf numFmtId="0" fontId="2" fillId="4" borderId="8" applyNumberFormat="0" applyFont="1" applyFill="1" applyBorder="1" applyAlignment="1" applyProtection="0">
      <alignment vertical="top" wrapText="1"/>
    </xf>
    <xf numFmtId="0" fontId="2" fillId="4" borderId="8" applyNumberFormat="1" applyFont="1" applyFill="1" applyBorder="1" applyAlignment="1" applyProtection="0">
      <alignment vertical="top" wrapText="1"/>
    </xf>
    <xf numFmtId="3" fontId="0" borderId="1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c6c6c6"/>
      <rgbColor rgb="ffbfbfbf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566575</xdr:colOff>
      <xdr:row>1</xdr:row>
      <xdr:rowOff>339090</xdr:rowOff>
    </xdr:from>
    <xdr:to>
      <xdr:col>13</xdr:col>
      <xdr:colOff>1126477</xdr:colOff>
      <xdr:row>49</xdr:row>
      <xdr:rowOff>141334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100475" y="609599"/>
          <a:ext cx="9272102" cy="121263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20312" style="1" customWidth="1"/>
    <col min="2" max="2" width="15.6172" style="1" customWidth="1"/>
    <col min="3" max="6" width="8.58594" style="1" customWidth="1"/>
    <col min="7" max="16384" width="16.3516" style="1" customWidth="1"/>
  </cols>
  <sheetData>
    <row r="1" ht="21.3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0.0696896842847942</v>
      </c>
      <c r="D4" s="8"/>
      <c r="E4" s="8"/>
      <c r="F4" s="9">
        <f>AVERAGE(C5:F5)</f>
        <v>0.0575</v>
      </c>
    </row>
    <row r="5" ht="20.05" customHeight="1">
      <c r="B5" t="s" s="10">
        <v>4</v>
      </c>
      <c r="C5" s="11">
        <v>0.2</v>
      </c>
      <c r="D5" s="12">
        <v>-0.07000000000000001</v>
      </c>
      <c r="E5" s="12">
        <v>0.15</v>
      </c>
      <c r="F5" s="12">
        <v>-0.05</v>
      </c>
    </row>
    <row r="6" ht="20.05" customHeight="1">
      <c r="B6" t="s" s="10">
        <v>5</v>
      </c>
      <c r="C6" s="13">
        <f>'Sales'!C32*(1+C5)</f>
        <v>1537.68</v>
      </c>
      <c r="D6" s="14">
        <f>C6*(1+D5)</f>
        <v>1430.0424</v>
      </c>
      <c r="E6" s="14">
        <f>D6*(1+E5)</f>
        <v>1644.54876</v>
      </c>
      <c r="F6" s="14">
        <f>E6*(1+F5)</f>
        <v>1562.321322</v>
      </c>
    </row>
    <row r="7" ht="20.05" customHeight="1">
      <c r="B7" t="s" s="10">
        <v>6</v>
      </c>
      <c r="C7" s="15">
        <f>AVERAGE('Sales'!H32)</f>
        <v>-0.958560948962073</v>
      </c>
      <c r="D7" s="16">
        <f>C7</f>
        <v>-0.958560948962073</v>
      </c>
      <c r="E7" s="16">
        <f>D7</f>
        <v>-0.958560948962073</v>
      </c>
      <c r="F7" s="16">
        <f>E7</f>
        <v>-0.958560948962073</v>
      </c>
    </row>
    <row r="8" ht="20.05" customHeight="1">
      <c r="B8" t="s" s="10">
        <v>7</v>
      </c>
      <c r="C8" s="17">
        <f>C7*C6</f>
        <v>-1473.96</v>
      </c>
      <c r="D8" s="18">
        <f>D7*D6</f>
        <v>-1370.7828</v>
      </c>
      <c r="E8" s="18">
        <f>E7*E6</f>
        <v>-1576.40022</v>
      </c>
      <c r="F8" s="18">
        <f>F7*F6</f>
        <v>-1497.580209</v>
      </c>
    </row>
    <row r="9" ht="20.05" customHeight="1">
      <c r="B9" t="s" s="10">
        <v>8</v>
      </c>
      <c r="C9" s="17">
        <f>C6+C8</f>
        <v>63.72</v>
      </c>
      <c r="D9" s="18">
        <f>D6+D8</f>
        <v>59.2596</v>
      </c>
      <c r="E9" s="18">
        <f>E6+E8</f>
        <v>68.14854</v>
      </c>
      <c r="F9" s="18">
        <f>F6+F8</f>
        <v>64.741113</v>
      </c>
    </row>
    <row r="10" ht="20.05" customHeight="1">
      <c r="B10" t="s" s="10">
        <v>9</v>
      </c>
      <c r="C10" s="17">
        <f>AVERAGE('Cashflow '!F26)</f>
        <v>-17.85</v>
      </c>
      <c r="D10" s="18">
        <f>C10</f>
        <v>-17.85</v>
      </c>
      <c r="E10" s="18">
        <f>D10</f>
        <v>-17.85</v>
      </c>
      <c r="F10" s="18">
        <f>E10</f>
        <v>-17.85</v>
      </c>
    </row>
    <row r="11" ht="20.05" customHeight="1">
      <c r="B11" t="s" s="10">
        <v>10</v>
      </c>
      <c r="C11" s="17">
        <f>'Cashflow '!G28</f>
        <v>-21</v>
      </c>
      <c r="D11" s="18">
        <f>C11</f>
        <v>-21</v>
      </c>
      <c r="E11" s="18">
        <f>D11</f>
        <v>-21</v>
      </c>
      <c r="F11" s="18">
        <f>E11</f>
        <v>-21</v>
      </c>
    </row>
    <row r="12" ht="20.05" customHeight="1">
      <c r="B12" t="s" s="10">
        <v>11</v>
      </c>
      <c r="C12" s="17">
        <f>C13+C16+C14</f>
        <v>-45.87</v>
      </c>
      <c r="D12" s="18">
        <f>D13+D16+D14</f>
        <v>-41.4096</v>
      </c>
      <c r="E12" s="18">
        <f>E13+E16+E14</f>
        <v>-50.29854</v>
      </c>
      <c r="F12" s="18">
        <f>F13+F16+F14</f>
        <v>-46.891113</v>
      </c>
    </row>
    <row r="13" ht="20.05" customHeight="1">
      <c r="B13" t="s" s="10">
        <v>12</v>
      </c>
      <c r="C13" s="17">
        <f>-('Balance Sheet '!G28)/20</f>
        <v>-129</v>
      </c>
      <c r="D13" s="18">
        <f>-C28/4</f>
        <v>-612.75</v>
      </c>
      <c r="E13" s="18">
        <f>-D28/4</f>
        <v>-459.5625</v>
      </c>
      <c r="F13" s="18">
        <f>-E28/4</f>
        <v>-344.671875</v>
      </c>
    </row>
    <row r="14" ht="20.05" customHeight="1">
      <c r="B14" t="s" s="10">
        <v>13</v>
      </c>
      <c r="C14" s="17">
        <f>-MIN(0,C17)</f>
        <v>83.13</v>
      </c>
      <c r="D14" s="18">
        <f>-MIN(C29,D17)</f>
        <v>571.3404</v>
      </c>
      <c r="E14" s="18">
        <f>-MIN(D29,E17)</f>
        <v>409.26396</v>
      </c>
      <c r="F14" s="18">
        <f>-MIN(E29,F17)</f>
        <v>297.780762</v>
      </c>
    </row>
    <row r="15" ht="20.05" customHeight="1">
      <c r="B15" t="s" s="10">
        <v>14</v>
      </c>
      <c r="C15" s="19">
        <v>0</v>
      </c>
      <c r="D15" s="20"/>
      <c r="E15" s="20"/>
      <c r="F15" s="20"/>
    </row>
    <row r="16" ht="20.05" customHeight="1">
      <c r="B16" t="s" s="10">
        <v>15</v>
      </c>
      <c r="C16" s="21">
        <f>IF(C23&gt;0,-C23*$C$15,0)</f>
        <v>0</v>
      </c>
      <c r="D16" s="20">
        <f>IF(D23&gt;0,-D23*$C$15,0)</f>
        <v>0</v>
      </c>
      <c r="E16" s="20">
        <f>IF(E23&gt;0,-E23*$C$15,0)</f>
        <v>0</v>
      </c>
      <c r="F16" s="20">
        <f>IF(F23&gt;0,-F23*$C$15,0)</f>
        <v>0</v>
      </c>
    </row>
    <row r="17" ht="20.05" customHeight="1">
      <c r="B17" t="s" s="10">
        <v>16</v>
      </c>
      <c r="C17" s="17">
        <f>C9+C10+C13+C16</f>
        <v>-83.13</v>
      </c>
      <c r="D17" s="18">
        <f>D9+D10+D13+D16</f>
        <v>-571.3404</v>
      </c>
      <c r="E17" s="18">
        <f>E9+E10+E13+E16</f>
        <v>-409.26396</v>
      </c>
      <c r="F17" s="18">
        <f>F9+F10+F13+F16</f>
        <v>-297.780762</v>
      </c>
    </row>
    <row r="18" ht="20.05" customHeight="1">
      <c r="B18" t="s" s="10">
        <v>17</v>
      </c>
      <c r="C18" s="17">
        <f>'Balance Sheet '!C28</f>
        <v>397</v>
      </c>
      <c r="D18" s="18">
        <f>C20</f>
        <v>397</v>
      </c>
      <c r="E18" s="18">
        <f>D20</f>
        <v>397</v>
      </c>
      <c r="F18" s="18">
        <f>E20</f>
        <v>397</v>
      </c>
    </row>
    <row r="19" ht="20.05" customHeight="1">
      <c r="B19" t="s" s="10">
        <v>18</v>
      </c>
      <c r="C19" s="17">
        <f>C9+C10+C12</f>
        <v>0</v>
      </c>
      <c r="D19" s="18">
        <f>D9+D10+D12</f>
        <v>0</v>
      </c>
      <c r="E19" s="18">
        <f>E9+E10+E12</f>
        <v>0</v>
      </c>
      <c r="F19" s="18">
        <f>F9+F10+F12</f>
        <v>0</v>
      </c>
    </row>
    <row r="20" ht="20.05" customHeight="1">
      <c r="B20" t="s" s="10">
        <v>19</v>
      </c>
      <c r="C20" s="17">
        <f>C18+C19</f>
        <v>397</v>
      </c>
      <c r="D20" s="18">
        <f>D18+D19</f>
        <v>397</v>
      </c>
      <c r="E20" s="18">
        <f>E18+E19</f>
        <v>397</v>
      </c>
      <c r="F20" s="18">
        <f>F18+F19</f>
        <v>397</v>
      </c>
    </row>
    <row r="21" ht="20.05" customHeight="1">
      <c r="B21" t="s" s="22">
        <v>20</v>
      </c>
      <c r="C21" s="23"/>
      <c r="D21" s="24"/>
      <c r="E21" s="24"/>
      <c r="F21" s="25"/>
    </row>
    <row r="22" ht="20.05" customHeight="1">
      <c r="B22" t="s" s="10">
        <v>21</v>
      </c>
      <c r="C22" s="17">
        <f>-'Sales'!E32</f>
        <v>-72.8</v>
      </c>
      <c r="D22" s="18">
        <f>C22</f>
        <v>-72.8</v>
      </c>
      <c r="E22" s="18">
        <f>D22</f>
        <v>-72.8</v>
      </c>
      <c r="F22" s="18">
        <f>E22</f>
        <v>-72.8</v>
      </c>
    </row>
    <row r="23" ht="20.05" customHeight="1">
      <c r="B23" t="s" s="10">
        <v>22</v>
      </c>
      <c r="C23" s="17">
        <f>C6+C8+C22</f>
        <v>-9.08</v>
      </c>
      <c r="D23" s="18">
        <f>D6+D8+D22</f>
        <v>-13.5404</v>
      </c>
      <c r="E23" s="18">
        <f>E6+E8+E22</f>
        <v>-4.65146</v>
      </c>
      <c r="F23" s="18">
        <f>F6+F8+F22</f>
        <v>-8.058887</v>
      </c>
    </row>
    <row r="24" ht="20.05" customHeight="1">
      <c r="B24" t="s" s="22">
        <v>23</v>
      </c>
      <c r="C24" s="23"/>
      <c r="D24" s="24"/>
      <c r="E24" s="24"/>
      <c r="F24" s="24"/>
    </row>
    <row r="25" ht="20.05" customHeight="1">
      <c r="B25" t="s" s="10">
        <v>24</v>
      </c>
      <c r="C25" s="17">
        <f>'Balance Sheet '!E28+'Balance Sheet '!F28-C10</f>
        <v>4440.85</v>
      </c>
      <c r="D25" s="18">
        <f>C25-D10</f>
        <v>4458.7</v>
      </c>
      <c r="E25" s="18">
        <f>D25-E10</f>
        <v>4476.55</v>
      </c>
      <c r="F25" s="18">
        <f>E25-F10</f>
        <v>4494.4</v>
      </c>
    </row>
    <row r="26" ht="20.05" customHeight="1">
      <c r="B26" t="s" s="10">
        <v>25</v>
      </c>
      <c r="C26" s="17">
        <f>'Balance Sheet '!F28-C22</f>
        <v>1398.8</v>
      </c>
      <c r="D26" s="18">
        <f>C26-D22</f>
        <v>1471.6</v>
      </c>
      <c r="E26" s="18">
        <f>D26-E22</f>
        <v>1544.4</v>
      </c>
      <c r="F26" s="18">
        <f>E26-F22</f>
        <v>1617.2</v>
      </c>
    </row>
    <row r="27" ht="20.05" customHeight="1">
      <c r="B27" t="s" s="10">
        <v>26</v>
      </c>
      <c r="C27" s="17">
        <f>C25-C26</f>
        <v>3042.05</v>
      </c>
      <c r="D27" s="18">
        <f>D25-D26</f>
        <v>2987.1</v>
      </c>
      <c r="E27" s="18">
        <f>E25-E26</f>
        <v>2932.15</v>
      </c>
      <c r="F27" s="18">
        <f>F25-F26</f>
        <v>2877.2</v>
      </c>
    </row>
    <row r="28" ht="20.05" customHeight="1">
      <c r="B28" t="s" s="10">
        <v>12</v>
      </c>
      <c r="C28" s="17">
        <f>'Balance Sheet '!G28+C13</f>
        <v>2451</v>
      </c>
      <c r="D28" s="18">
        <f>C28+D13</f>
        <v>1838.25</v>
      </c>
      <c r="E28" s="18">
        <f>D28+E13</f>
        <v>1378.6875</v>
      </c>
      <c r="F28" s="18">
        <f>E28+F13</f>
        <v>1034.015625</v>
      </c>
    </row>
    <row r="29" ht="20.05" customHeight="1">
      <c r="B29" t="s" s="10">
        <v>13</v>
      </c>
      <c r="C29" s="17">
        <f>C14</f>
        <v>83.13</v>
      </c>
      <c r="D29" s="18">
        <f>C29+D14</f>
        <v>654.4704</v>
      </c>
      <c r="E29" s="18">
        <f>D29+E14</f>
        <v>1063.73436</v>
      </c>
      <c r="F29" s="18">
        <f>E29+F14</f>
        <v>1361.515122</v>
      </c>
    </row>
    <row r="30" ht="20.05" customHeight="1">
      <c r="B30" t="s" s="10">
        <v>15</v>
      </c>
      <c r="C30" s="17">
        <f>'Balance Sheet '!H28+C23+C16</f>
        <v>904.92</v>
      </c>
      <c r="D30" s="18">
        <f>C30+D23+D16</f>
        <v>891.3796</v>
      </c>
      <c r="E30" s="18">
        <f>D30+E23+E16</f>
        <v>886.7281400000001</v>
      </c>
      <c r="F30" s="18">
        <f>E30+F23+F16</f>
        <v>878.669253</v>
      </c>
    </row>
    <row r="31" ht="20.05" customHeight="1">
      <c r="B31" t="s" s="10">
        <v>27</v>
      </c>
      <c r="C31" s="21">
        <f>C28+C29+C30-C20-C27</f>
        <v>0</v>
      </c>
      <c r="D31" s="20">
        <f>D28+D29+D30-D20-D27</f>
        <v>0</v>
      </c>
      <c r="E31" s="20">
        <f>E28+E29+E30-E20-E27</f>
        <v>0</v>
      </c>
      <c r="F31" s="20">
        <f>F28+F29+F30-F20-F27</f>
        <v>0</v>
      </c>
    </row>
    <row r="32" ht="20.05" customHeight="1">
      <c r="B32" t="s" s="10">
        <v>28</v>
      </c>
      <c r="C32" s="17">
        <f>C20-C28-C29</f>
        <v>-2137.13</v>
      </c>
      <c r="D32" s="18">
        <f>D20-D28-D29</f>
        <v>-2095.7204</v>
      </c>
      <c r="E32" s="18">
        <f>E20-E28-E29</f>
        <v>-2045.42186</v>
      </c>
      <c r="F32" s="18">
        <f>F20-F28-F29</f>
        <v>-1998.530747</v>
      </c>
    </row>
    <row r="33" ht="20.05" customHeight="1">
      <c r="B33" t="s" s="22">
        <v>29</v>
      </c>
      <c r="C33" s="26"/>
      <c r="D33" s="25"/>
      <c r="E33" s="25"/>
      <c r="F33" s="25"/>
    </row>
    <row r="34" ht="20.05" customHeight="1">
      <c r="B34" t="s" s="10">
        <v>30</v>
      </c>
      <c r="C34" s="17">
        <f>'Cashflow '!N32-C12</f>
        <v>45.77</v>
      </c>
      <c r="D34" s="18">
        <f>C34-D12</f>
        <v>87.17959999999999</v>
      </c>
      <c r="E34" s="18">
        <f>D34-E12</f>
        <v>137.47814</v>
      </c>
      <c r="F34" s="18">
        <f>E34-F12</f>
        <v>184.369253</v>
      </c>
    </row>
    <row r="35" ht="20.05" customHeight="1">
      <c r="B35" t="s" s="10">
        <v>31</v>
      </c>
      <c r="C35" s="26"/>
      <c r="D35" s="25"/>
      <c r="E35" s="25"/>
      <c r="F35" s="18">
        <v>3747845754880</v>
      </c>
    </row>
    <row r="36" ht="20.05" customHeight="1">
      <c r="B36" t="s" s="10">
        <v>31</v>
      </c>
      <c r="C36" s="26"/>
      <c r="D36" s="25"/>
      <c r="E36" s="25"/>
      <c r="F36" s="18">
        <f>F35/1000000000</f>
        <v>3747.84575488</v>
      </c>
    </row>
    <row r="37" ht="20.05" customHeight="1">
      <c r="B37" t="s" s="10">
        <v>32</v>
      </c>
      <c r="C37" s="26"/>
      <c r="D37" s="25"/>
      <c r="E37" s="25"/>
      <c r="F37" s="27">
        <f>F36/(F20+F27)</f>
        <v>1.14465999477124</v>
      </c>
    </row>
    <row r="38" ht="20.05" customHeight="1">
      <c r="B38" t="s" s="10">
        <v>33</v>
      </c>
      <c r="C38" s="26"/>
      <c r="D38" s="25"/>
      <c r="E38" s="25"/>
      <c r="F38" s="12">
        <f>-(C16+D16+E16+F16)/F36</f>
        <v>0</v>
      </c>
    </row>
    <row r="39" ht="20.05" customHeight="1">
      <c r="B39" t="s" s="10">
        <v>34</v>
      </c>
      <c r="C39" s="26"/>
      <c r="D39" s="25"/>
      <c r="E39" s="25"/>
      <c r="F39" s="18">
        <f>SUM(C9:F11)</f>
        <v>100.469253</v>
      </c>
    </row>
    <row r="40" ht="20.05" customHeight="1">
      <c r="B40" t="s" s="10">
        <v>35</v>
      </c>
      <c r="C40" s="26"/>
      <c r="D40" s="25"/>
      <c r="E40" s="25"/>
      <c r="F40" s="18">
        <f>'Balance Sheet '!E28/F39</f>
        <v>30.8253511151317</v>
      </c>
    </row>
    <row r="41" ht="20.05" customHeight="1">
      <c r="B41" t="s" s="10">
        <v>29</v>
      </c>
      <c r="C41" s="26"/>
      <c r="D41" s="25"/>
      <c r="E41" s="25"/>
      <c r="F41" s="18">
        <f>F36/F39</f>
        <v>37.3034101774401</v>
      </c>
    </row>
    <row r="42" ht="20.05" customHeight="1">
      <c r="B42" t="s" s="10">
        <v>36</v>
      </c>
      <c r="C42" s="26"/>
      <c r="D42" s="25"/>
      <c r="E42" s="25"/>
      <c r="F42" s="24">
        <v>35</v>
      </c>
    </row>
    <row r="43" ht="20.05" customHeight="1">
      <c r="B43" t="s" s="10">
        <v>37</v>
      </c>
      <c r="C43" s="26"/>
      <c r="D43" s="25"/>
      <c r="E43" s="25"/>
      <c r="F43" s="18">
        <f>F39*F42</f>
        <v>3516.423855</v>
      </c>
    </row>
    <row r="44" ht="20.05" customHeight="1">
      <c r="B44" t="s" s="10">
        <v>38</v>
      </c>
      <c r="C44" s="26"/>
      <c r="D44" s="25"/>
      <c r="E44" s="25"/>
      <c r="F44" s="20">
        <f>F36/F46</f>
        <v>3.987069952</v>
      </c>
    </row>
    <row r="45" ht="20.05" customHeight="1">
      <c r="B45" t="s" s="10">
        <v>39</v>
      </c>
      <c r="C45" s="26"/>
      <c r="D45" s="25"/>
      <c r="E45" s="25"/>
      <c r="F45" s="20">
        <f>F43/F44</f>
        <v>881.956900012774</v>
      </c>
    </row>
    <row r="46" ht="20.05" customHeight="1">
      <c r="B46" t="s" s="10">
        <v>40</v>
      </c>
      <c r="C46" s="26"/>
      <c r="D46" s="25"/>
      <c r="E46" s="25"/>
      <c r="F46" s="24">
        <v>940</v>
      </c>
    </row>
    <row r="47" ht="20.05" customHeight="1">
      <c r="B47" t="s" s="10">
        <v>41</v>
      </c>
      <c r="C47" s="26"/>
      <c r="D47" s="25"/>
      <c r="E47" s="25"/>
      <c r="F47" s="16">
        <f>F45/F46-1</f>
        <v>-0.0617479787098149</v>
      </c>
    </row>
    <row r="48" ht="20.05" customHeight="1">
      <c r="B48" t="s" s="10">
        <v>42</v>
      </c>
      <c r="C48" s="26"/>
      <c r="D48" s="25"/>
      <c r="E48" s="25"/>
      <c r="F48" s="16">
        <f>'Sales'!C32/'Sales'!C28-1</f>
        <v>0.183085587665036</v>
      </c>
    </row>
    <row r="49" ht="20.05" customHeight="1">
      <c r="B49" t="s" s="10">
        <v>43</v>
      </c>
      <c r="C49" s="26"/>
      <c r="D49" s="25"/>
      <c r="E49" s="25"/>
      <c r="F49" s="16">
        <f>'Sales'!F35/'Sales'!E35-1</f>
        <v>0.0536495418817179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48438" style="28" customWidth="1"/>
    <col min="2" max="2" width="11.7578" style="28" customWidth="1"/>
    <col min="3" max="10" width="10.4141" style="28" customWidth="1"/>
    <col min="11" max="16384" width="16.3516" style="28" customWidth="1"/>
  </cols>
  <sheetData>
    <row r="1" ht="44.0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44</v>
      </c>
      <c r="C3" t="s" s="5">
        <v>45</v>
      </c>
      <c r="D3" t="s" s="5">
        <v>36</v>
      </c>
      <c r="E3" t="s" s="5">
        <v>25</v>
      </c>
      <c r="F3" t="s" s="5">
        <v>46</v>
      </c>
      <c r="G3" t="s" s="5">
        <v>47</v>
      </c>
      <c r="H3" t="s" s="5">
        <v>48</v>
      </c>
      <c r="I3" t="s" s="5">
        <v>48</v>
      </c>
      <c r="J3" t="s" s="5">
        <v>36</v>
      </c>
    </row>
    <row r="4" ht="20.25" customHeight="1">
      <c r="B4" s="29">
        <v>2015</v>
      </c>
      <c r="C4" s="30">
        <v>1002.837</v>
      </c>
      <c r="D4" s="31"/>
      <c r="E4" s="32"/>
      <c r="F4" s="33">
        <v>8.859999999999999</v>
      </c>
      <c r="G4" s="9"/>
      <c r="H4" s="34">
        <f>(E4+F4-C4)/C4</f>
        <v>-0.991165064711414</v>
      </c>
      <c r="I4" s="34"/>
      <c r="J4" s="34"/>
    </row>
    <row r="5" ht="20.05" customHeight="1">
      <c r="B5" s="35"/>
      <c r="C5" s="17">
        <v>1082.243</v>
      </c>
      <c r="D5" s="20"/>
      <c r="E5" s="14"/>
      <c r="F5" s="18">
        <f>27.72-F4</f>
        <v>18.86</v>
      </c>
      <c r="G5" s="16">
        <f>C5/C4-1</f>
        <v>0.0791813624746594</v>
      </c>
      <c r="H5" s="16">
        <f>(E5+F5-C5)/C5</f>
        <v>-0.982573229856881</v>
      </c>
      <c r="I5" s="16"/>
      <c r="J5" s="16"/>
    </row>
    <row r="6" ht="20.05" customHeight="1">
      <c r="B6" s="35"/>
      <c r="C6" s="17">
        <v>1198.78</v>
      </c>
      <c r="D6" s="20"/>
      <c r="E6" s="14"/>
      <c r="F6" s="18">
        <f>73.84-SUM(F4:F5)</f>
        <v>46.12</v>
      </c>
      <c r="G6" s="16">
        <f>C6/C5-1</f>
        <v>0.107680992161649</v>
      </c>
      <c r="H6" s="16">
        <f>(E6+F6-C6)/C6</f>
        <v>-0.961527553012229</v>
      </c>
      <c r="I6" s="16"/>
      <c r="J6" s="16"/>
    </row>
    <row r="7" ht="20.05" customHeight="1">
      <c r="B7" s="35"/>
      <c r="C7" s="17">
        <v>1191.17</v>
      </c>
      <c r="D7" s="20"/>
      <c r="E7" s="14">
        <f>178.1-SUM(E4:E6)</f>
        <v>178.1</v>
      </c>
      <c r="F7" s="18">
        <f>105-SUM(F4:F6)</f>
        <v>31.16</v>
      </c>
      <c r="G7" s="16">
        <f>C7/C6-1</f>
        <v>-0.00634812058926575</v>
      </c>
      <c r="H7" s="16">
        <f>(E7+F7-C7)/C7</f>
        <v>-0.824323983982135</v>
      </c>
      <c r="I7" s="16"/>
      <c r="J7" s="16"/>
    </row>
    <row r="8" ht="20.05" customHeight="1">
      <c r="B8" s="36">
        <v>2016</v>
      </c>
      <c r="C8" s="17">
        <v>1102.27</v>
      </c>
      <c r="D8" s="20"/>
      <c r="E8" s="14">
        <v>47.4</v>
      </c>
      <c r="F8" s="18">
        <v>8.289999999999999</v>
      </c>
      <c r="G8" s="16">
        <f>C8/C7-1</f>
        <v>-0.0746325041765659</v>
      </c>
      <c r="H8" s="16">
        <f>(E8+F8-C8)/C8</f>
        <v>-0.9494769883966721</v>
      </c>
      <c r="I8" s="16">
        <f>AVERAGE(H5:H8)</f>
        <v>-0.929475438811979</v>
      </c>
      <c r="J8" s="16"/>
    </row>
    <row r="9" ht="20.05" customHeight="1">
      <c r="B9" s="35"/>
      <c r="C9" s="17">
        <v>1209.48</v>
      </c>
      <c r="D9" s="20"/>
      <c r="E9" s="14">
        <f>96-E8</f>
        <v>48.6</v>
      </c>
      <c r="F9" s="18">
        <f>43.19-F8</f>
        <v>34.9</v>
      </c>
      <c r="G9" s="16">
        <f>C9/C8-1</f>
        <v>0.09726292106289749</v>
      </c>
      <c r="H9" s="16">
        <f>(E9+F9-C9)/C9</f>
        <v>-0.93096206634256</v>
      </c>
      <c r="I9" s="16">
        <f>AVERAGE(H6:H9)</f>
        <v>-0.916572647933399</v>
      </c>
      <c r="J9" s="16"/>
    </row>
    <row r="10" ht="20.05" customHeight="1">
      <c r="B10" s="35"/>
      <c r="C10" s="17">
        <v>1255.43</v>
      </c>
      <c r="D10" s="20"/>
      <c r="E10" s="14">
        <f>143.8-SUM(E8:E9)</f>
        <v>47.8</v>
      </c>
      <c r="F10" s="18">
        <f>106.9-SUM(F8:F9)</f>
        <v>63.71</v>
      </c>
      <c r="G10" s="16">
        <f>C10/C9-1</f>
        <v>0.037991533551609</v>
      </c>
      <c r="H10" s="16">
        <f>(E10+F10-C10)/C10</f>
        <v>-0.911177843448062</v>
      </c>
      <c r="I10" s="16">
        <f>AVERAGE(H7:H10)</f>
        <v>-0.903985220542357</v>
      </c>
      <c r="J10" s="16"/>
    </row>
    <row r="11" ht="20.05" customHeight="1">
      <c r="B11" s="35"/>
      <c r="C11" s="17">
        <v>1315.82</v>
      </c>
      <c r="D11" s="20"/>
      <c r="E11" s="14">
        <f>194.2-SUM(E8:E10)</f>
        <v>50.4</v>
      </c>
      <c r="F11" s="18">
        <f>172.6-SUM(F8:F10)</f>
        <v>65.7</v>
      </c>
      <c r="G11" s="16">
        <f>C11/C10-1</f>
        <v>0.0481030403925348</v>
      </c>
      <c r="H11" s="16">
        <f>(E11+F11-C11)/C11</f>
        <v>-0.911766047027709</v>
      </c>
      <c r="I11" s="16">
        <f>AVERAGE(H8:H11)</f>
        <v>-0.925845736303751</v>
      </c>
      <c r="J11" s="16"/>
    </row>
    <row r="12" ht="20.05" customHeight="1">
      <c r="B12" s="36">
        <v>2017</v>
      </c>
      <c r="C12" s="17">
        <v>1204.63</v>
      </c>
      <c r="D12" s="20"/>
      <c r="E12" s="14">
        <v>51.3</v>
      </c>
      <c r="F12" s="18">
        <v>37.23</v>
      </c>
      <c r="G12" s="16">
        <f>C12/C11-1</f>
        <v>-0.0845024395434026</v>
      </c>
      <c r="H12" s="16">
        <f>(E12+F12-C12)/C12</f>
        <v>-0.926508554493911</v>
      </c>
      <c r="I12" s="16">
        <f>AVERAGE(H9:H12)</f>
        <v>-0.920103627828061</v>
      </c>
      <c r="J12" s="16"/>
    </row>
    <row r="13" ht="20.05" customHeight="1">
      <c r="B13" s="35"/>
      <c r="C13" s="17">
        <v>1400.71</v>
      </c>
      <c r="D13" s="20"/>
      <c r="E13" s="14">
        <f>103.8-E12</f>
        <v>52.5</v>
      </c>
      <c r="F13" s="18">
        <f>75.75-F12</f>
        <v>38.52</v>
      </c>
      <c r="G13" s="16">
        <f>C13/C12-1</f>
        <v>0.162771971476719</v>
      </c>
      <c r="H13" s="16">
        <f>(E13+F13-C13)/C13</f>
        <v>-0.935018669103526</v>
      </c>
      <c r="I13" s="16">
        <f>AVERAGE(H10:H13)</f>
        <v>-0.921117778518302</v>
      </c>
      <c r="J13" s="16"/>
    </row>
    <row r="14" ht="20.05" customHeight="1">
      <c r="B14" s="35"/>
      <c r="C14" s="17">
        <v>1291.16</v>
      </c>
      <c r="D14" s="20"/>
      <c r="E14" s="14">
        <f>156.6-SUM(E12:E13)</f>
        <v>52.8</v>
      </c>
      <c r="F14" s="18">
        <f>104.59-SUM(F12:F13)</f>
        <v>28.84</v>
      </c>
      <c r="G14" s="16">
        <f>C14/C13-1</f>
        <v>-0.0782103361866482</v>
      </c>
      <c r="H14" s="16">
        <f>(E14+F14-C14)/C14</f>
        <v>-0.936770036246476</v>
      </c>
      <c r="I14" s="16">
        <f>AVERAGE(H11:H14)</f>
        <v>-0.927515826717906</v>
      </c>
      <c r="J14" s="16"/>
    </row>
    <row r="15" ht="20.05" customHeight="1">
      <c r="B15" s="35"/>
      <c r="C15" s="17">
        <v>1406.16</v>
      </c>
      <c r="D15" s="20"/>
      <c r="E15" s="14">
        <f>211.6-SUM(E12:E14)</f>
        <v>55</v>
      </c>
      <c r="F15" s="18">
        <f>166.99-SUM(F12:F14)</f>
        <v>62.4</v>
      </c>
      <c r="G15" s="16">
        <f>C15/C14-1</f>
        <v>0.0890671953901918</v>
      </c>
      <c r="H15" s="16">
        <f>(E15+F15-C15)/C15</f>
        <v>-0.916510212209137</v>
      </c>
      <c r="I15" s="16">
        <f>AVERAGE(H12:H15)</f>
        <v>-0.928701868013263</v>
      </c>
      <c r="J15" s="16"/>
    </row>
    <row r="16" ht="20.05" customHeight="1">
      <c r="B16" s="36">
        <v>2018</v>
      </c>
      <c r="C16" s="17">
        <v>1333.7</v>
      </c>
      <c r="D16" s="20"/>
      <c r="E16" s="14">
        <f>57.1</f>
        <v>57.1</v>
      </c>
      <c r="F16" s="18">
        <v>15</v>
      </c>
      <c r="G16" s="16">
        <f>C16/C15-1</f>
        <v>-0.0515304090572908</v>
      </c>
      <c r="H16" s="16">
        <f>(E16+F16-C16)/C16</f>
        <v>-0.945939866536702</v>
      </c>
      <c r="I16" s="16">
        <f>AVERAGE(H13:H16)</f>
        <v>-0.9335596960239601</v>
      </c>
      <c r="J16" s="16"/>
    </row>
    <row r="17" ht="20.05" customHeight="1">
      <c r="B17" s="35"/>
      <c r="C17" s="17">
        <v>1633.28</v>
      </c>
      <c r="D17" s="20"/>
      <c r="E17" s="14">
        <f>76-E16</f>
        <v>18.9</v>
      </c>
      <c r="F17" s="18">
        <f>102-F16</f>
        <v>87</v>
      </c>
      <c r="G17" s="16">
        <f>C17/C16-1</f>
        <v>0.224623228612132</v>
      </c>
      <c r="H17" s="16">
        <f>(E17+F17-C17)/C17</f>
        <v>-0.935161148119122</v>
      </c>
      <c r="I17" s="16">
        <f>AVERAGE(H14:H17)</f>
        <v>-0.933595315777859</v>
      </c>
      <c r="J17" s="16"/>
    </row>
    <row r="18" ht="20.05" customHeight="1">
      <c r="B18" s="35"/>
      <c r="C18" s="17">
        <v>1472.62</v>
      </c>
      <c r="D18" s="20"/>
      <c r="E18" s="14">
        <f>176.2-SUM(E16:E17)</f>
        <v>100.2</v>
      </c>
      <c r="F18" s="18">
        <f>96.77-SUM(F16:F17)</f>
        <v>-5.23</v>
      </c>
      <c r="G18" s="16">
        <f>C18/C17-1</f>
        <v>-0.09836647727272731</v>
      </c>
      <c r="H18" s="16">
        <f>(E18+F18-C18)/C18</f>
        <v>-0.935509500074697</v>
      </c>
      <c r="I18" s="16">
        <f>AVERAGE(H15:H18)</f>
        <v>-0.933280181734915</v>
      </c>
      <c r="J18" s="16"/>
    </row>
    <row r="19" ht="20.05" customHeight="1">
      <c r="B19" s="35"/>
      <c r="C19" s="17">
        <v>1577.8</v>
      </c>
      <c r="D19" s="20"/>
      <c r="E19" s="14">
        <f>239.1-SUM(E16:E18)</f>
        <v>62.9</v>
      </c>
      <c r="F19" s="18">
        <f>212-SUM(F16:F18)</f>
        <v>115.23</v>
      </c>
      <c r="G19" s="16">
        <f>C19/C18-1</f>
        <v>0.0714237209870842</v>
      </c>
      <c r="H19" s="16">
        <f>(E19+F19-C19)/C19</f>
        <v>-0.887102294333883</v>
      </c>
      <c r="I19" s="16">
        <f>AVERAGE(H16:H19)</f>
        <v>-0.925928202266101</v>
      </c>
      <c r="J19" s="16"/>
    </row>
    <row r="20" ht="20.05" customHeight="1">
      <c r="B20" s="36">
        <v>2019</v>
      </c>
      <c r="C20" s="17">
        <v>1530.85</v>
      </c>
      <c r="D20" s="20"/>
      <c r="E20" s="14">
        <v>63.4</v>
      </c>
      <c r="F20" s="18">
        <v>50.3</v>
      </c>
      <c r="G20" s="16">
        <f>C20/C19-1</f>
        <v>-0.0297566231461529</v>
      </c>
      <c r="H20" s="16">
        <f>(E20+F20-C20)/C20</f>
        <v>-0.925727536989254</v>
      </c>
      <c r="I20" s="16">
        <f>AVERAGE(H17:H20)</f>
        <v>-0.920875119879239</v>
      </c>
      <c r="J20" s="16"/>
    </row>
    <row r="21" ht="20.05" customHeight="1">
      <c r="B21" s="35"/>
      <c r="C21" s="17">
        <v>1840.38</v>
      </c>
      <c r="D21" s="20"/>
      <c r="E21" s="14">
        <f>129.3-E20</f>
        <v>65.90000000000001</v>
      </c>
      <c r="F21" s="18">
        <f>157.5-F20</f>
        <v>107.2</v>
      </c>
      <c r="G21" s="16">
        <f>C21/C20-1</f>
        <v>0.202194859065225</v>
      </c>
      <c r="H21" s="16">
        <f>(E21+F21-C21)/C21</f>
        <v>-0.905943337788935</v>
      </c>
      <c r="I21" s="16">
        <f>AVERAGE(H18:H21)</f>
        <v>-0.913570667296692</v>
      </c>
      <c r="J21" s="16"/>
    </row>
    <row r="22" ht="20.05" customHeight="1">
      <c r="B22" s="35"/>
      <c r="C22" s="17">
        <v>1641.87</v>
      </c>
      <c r="D22" s="20"/>
      <c r="E22" s="14">
        <f>197-SUM(E20:E21)</f>
        <v>67.7</v>
      </c>
      <c r="F22" s="18">
        <f>175.69-SUM(F20:F21)</f>
        <v>18.19</v>
      </c>
      <c r="G22" s="16">
        <f>C22/C21-1</f>
        <v>-0.107863593388322</v>
      </c>
      <c r="H22" s="16">
        <f>(E22+F22-C22)/C22</f>
        <v>-0.947687697564363</v>
      </c>
      <c r="I22" s="16">
        <f>AVERAGE(H19:H22)</f>
        <v>-0.9166152166691089</v>
      </c>
      <c r="J22" s="16"/>
    </row>
    <row r="23" ht="20.05" customHeight="1">
      <c r="B23" s="35"/>
      <c r="C23" s="17">
        <v>1693.19</v>
      </c>
      <c r="D23" s="20"/>
      <c r="E23" s="14">
        <f>268.3-SUM(E20:E22)</f>
        <v>71.3</v>
      </c>
      <c r="F23" s="18">
        <f>241.54-SUM(F20:F22)</f>
        <v>65.84999999999999</v>
      </c>
      <c r="G23" s="16">
        <f>C23/C22-1</f>
        <v>0.031257042274967</v>
      </c>
      <c r="H23" s="16">
        <f>(E23+F23-C23)/C23</f>
        <v>-0.9189990491321119</v>
      </c>
      <c r="I23" s="16">
        <f>AVERAGE(H20:H23)</f>
        <v>-0.924589405368666</v>
      </c>
      <c r="J23" s="16"/>
    </row>
    <row r="24" ht="20.05" customHeight="1">
      <c r="B24" s="36">
        <v>2020</v>
      </c>
      <c r="C24" s="17">
        <v>1518.1</v>
      </c>
      <c r="D24" s="20"/>
      <c r="E24" s="14">
        <v>72.3</v>
      </c>
      <c r="F24" s="18">
        <v>5.4</v>
      </c>
      <c r="G24" s="16">
        <f>C24/C23-1</f>
        <v>-0.103408359369002</v>
      </c>
      <c r="H24" s="16">
        <f>(E24+F24-C24)/C24</f>
        <v>-0.9488176009485541</v>
      </c>
      <c r="I24" s="16">
        <f>AVERAGE(H21:H24)</f>
        <v>-0.9303619213584911</v>
      </c>
      <c r="J24" s="16"/>
    </row>
    <row r="25" ht="20.05" customHeight="1">
      <c r="B25" s="35"/>
      <c r="C25" s="17">
        <v>996.7</v>
      </c>
      <c r="D25" s="25"/>
      <c r="E25" s="14">
        <f>144.9-E24</f>
        <v>72.59999999999999</v>
      </c>
      <c r="F25" s="18">
        <f>-142.23-F24</f>
        <v>-147.63</v>
      </c>
      <c r="G25" s="16">
        <f>C25/C24-1</f>
        <v>-0.343455635333641</v>
      </c>
      <c r="H25" s="16">
        <f>(E25+F25-C25)/C25</f>
        <v>-1.07527841878198</v>
      </c>
      <c r="I25" s="16">
        <f>AVERAGE(H22:H25)</f>
        <v>-0.972695691606752</v>
      </c>
      <c r="J25" s="16"/>
    </row>
    <row r="26" ht="20.05" customHeight="1">
      <c r="B26" s="35"/>
      <c r="C26" s="17">
        <v>1071.2</v>
      </c>
      <c r="D26" s="14">
        <v>1096.37</v>
      </c>
      <c r="E26" s="14">
        <f>217.3-SUM(E24:E25)</f>
        <v>72.40000000000001</v>
      </c>
      <c r="F26" s="18">
        <f>-298-SUM(F24:F25)</f>
        <v>-155.77</v>
      </c>
      <c r="G26" s="16">
        <f>C26/C25-1</f>
        <v>0.0747466639911709</v>
      </c>
      <c r="H26" s="16">
        <f>(E26+F26-C26)/C26</f>
        <v>-1.0778286034354</v>
      </c>
      <c r="I26" s="16">
        <f>AVERAGE(H23:H26)</f>
        <v>-1.00523091807451</v>
      </c>
      <c r="J26" s="16"/>
    </row>
    <row r="27" ht="20.05" customHeight="1">
      <c r="B27" s="35"/>
      <c r="C27" s="17">
        <v>1254.4</v>
      </c>
      <c r="D27" s="14">
        <v>1332.213</v>
      </c>
      <c r="E27" s="14">
        <f>408.1-SUM(E24:E26)</f>
        <v>190.8</v>
      </c>
      <c r="F27" s="18">
        <f>-377.2-SUM(F24:F26)</f>
        <v>-79.2</v>
      </c>
      <c r="G27" s="16">
        <f>C27/C26-1</f>
        <v>0.171023151605676</v>
      </c>
      <c r="H27" s="16">
        <f>(E27+F27-C27)/C27</f>
        <v>-0.911033163265306</v>
      </c>
      <c r="I27" s="16">
        <f>AVERAGE(H24:H27)</f>
        <v>-1.00323944660781</v>
      </c>
      <c r="J27" s="16"/>
    </row>
    <row r="28" ht="20.05" customHeight="1">
      <c r="B28" s="36">
        <v>2021</v>
      </c>
      <c r="C28" s="17">
        <v>1083.1</v>
      </c>
      <c r="D28" s="14">
        <v>1318.89087</v>
      </c>
      <c r="E28" s="18">
        <v>73.90000000000001</v>
      </c>
      <c r="F28" s="18">
        <v>-61.5</v>
      </c>
      <c r="G28" s="16">
        <f>C28/C27-1</f>
        <v>-0.13655931122449</v>
      </c>
      <c r="H28" s="16">
        <f>(E28+F28-C28)/C28</f>
        <v>-0.9885513802972949</v>
      </c>
      <c r="I28" s="16">
        <f>AVERAGE(H25:H28)</f>
        <v>-1.013172891445</v>
      </c>
      <c r="J28" s="16"/>
    </row>
    <row r="29" ht="20.05" customHeight="1">
      <c r="B29" s="35"/>
      <c r="C29" s="17">
        <f>2429.2-C28</f>
        <v>1346.1</v>
      </c>
      <c r="D29" s="14">
        <v>1332.213</v>
      </c>
      <c r="E29" s="14">
        <f>146.3-E28</f>
        <v>72.40000000000001</v>
      </c>
      <c r="F29" s="18">
        <f>-76.9-F28</f>
        <v>-15.4</v>
      </c>
      <c r="G29" s="16">
        <f>C29/C28-1</f>
        <v>0.242821530791247</v>
      </c>
      <c r="H29" s="16">
        <f>(E29+F29-C29)/C29</f>
        <v>-0.957655449075106</v>
      </c>
      <c r="I29" s="16">
        <f>AVERAGE(H26:H29)</f>
        <v>-0.983767149018277</v>
      </c>
      <c r="J29" s="16"/>
    </row>
    <row r="30" ht="20.05" customHeight="1">
      <c r="B30" s="35"/>
      <c r="C30" s="17">
        <f>3456.9-SUM(C28:C29)</f>
        <v>1027.7</v>
      </c>
      <c r="D30" s="14">
        <v>1251.873</v>
      </c>
      <c r="E30" s="14">
        <f>218.9-SUM(E28:E29)</f>
        <v>72.59999999999999</v>
      </c>
      <c r="F30" s="18">
        <f>-201.4-SUM(F28:F29)</f>
        <v>-124.5</v>
      </c>
      <c r="G30" s="16">
        <f>C30/C29-1</f>
        <v>-0.236535175692742</v>
      </c>
      <c r="H30" s="16">
        <f>(E30+F30-C30)/C30</f>
        <v>-1.0505011190036</v>
      </c>
      <c r="I30" s="16">
        <f>AVERAGE(H27:H30)</f>
        <v>-0.976935277910327</v>
      </c>
      <c r="J30" s="16"/>
    </row>
    <row r="31" ht="20.05" customHeight="1">
      <c r="B31" s="35"/>
      <c r="C31" s="17">
        <f>4840.6-SUM(C28:C30)</f>
        <v>1383.7</v>
      </c>
      <c r="D31" s="14">
        <v>1284.625</v>
      </c>
      <c r="E31" s="14">
        <f>292.5-SUM(E28:E30)</f>
        <v>73.59999999999999</v>
      </c>
      <c r="F31" s="18">
        <f>-295.7-SUM(F28:F30)</f>
        <v>-94.3</v>
      </c>
      <c r="G31" s="16">
        <f>C31/C30-1</f>
        <v>0.346404592779994</v>
      </c>
      <c r="H31" s="16">
        <f>(E31+F31-C31)/C31</f>
        <v>-1.0149598901496</v>
      </c>
      <c r="I31" s="16">
        <f>AVERAGE(H28:H31)</f>
        <v>-1.0029169596314</v>
      </c>
      <c r="J31" s="16"/>
    </row>
    <row r="32" ht="20.05" customHeight="1">
      <c r="B32" s="36">
        <v>2022</v>
      </c>
      <c r="C32" s="17">
        <v>1281.4</v>
      </c>
      <c r="D32" s="14">
        <v>1284.625</v>
      </c>
      <c r="E32" s="14">
        <v>72.8</v>
      </c>
      <c r="F32" s="18">
        <v>-19.7</v>
      </c>
      <c r="G32" s="16">
        <f>C32/C31-1</f>
        <v>-0.0739322107393221</v>
      </c>
      <c r="H32" s="16">
        <f>(E32+F32-C32)/C32</f>
        <v>-0.958560948962073</v>
      </c>
      <c r="I32" s="16">
        <f>AVERAGE(H29:H32)</f>
        <v>-0.995419351797595</v>
      </c>
      <c r="J32" s="16">
        <v>-0.957655449075106</v>
      </c>
    </row>
    <row r="33" ht="20.05" customHeight="1">
      <c r="B33" s="35"/>
      <c r="C33" s="17"/>
      <c r="D33" s="14">
        <f>'Model'!C6</f>
        <v>1537.68</v>
      </c>
      <c r="E33" s="14"/>
      <c r="F33" s="18"/>
      <c r="G33" s="12"/>
      <c r="H33" s="25"/>
      <c r="I33" s="25"/>
      <c r="J33" s="16">
        <f>'Model'!C7</f>
        <v>-0.958560948962073</v>
      </c>
    </row>
    <row r="34" ht="20.05" customHeight="1">
      <c r="B34" s="35"/>
      <c r="C34" s="17"/>
      <c r="D34" s="14">
        <f>'Model'!D6</f>
        <v>1430.0424</v>
      </c>
      <c r="E34" s="14"/>
      <c r="F34" s="18"/>
      <c r="G34" s="12"/>
      <c r="H34" s="12"/>
      <c r="I34" s="16"/>
      <c r="J34" s="16"/>
    </row>
    <row r="35" ht="20.05" customHeight="1">
      <c r="B35" s="35"/>
      <c r="C35" s="17"/>
      <c r="D35" s="14">
        <f>'Model'!E6</f>
        <v>1644.54876</v>
      </c>
      <c r="E35" s="14">
        <f>SUM(C26:C32)</f>
        <v>8447.6</v>
      </c>
      <c r="F35" s="14">
        <f>SUM(D26:D32)</f>
        <v>8900.809869999999</v>
      </c>
      <c r="G35" s="12"/>
      <c r="H35" s="12"/>
      <c r="I35" s="16"/>
      <c r="J35" s="16"/>
    </row>
    <row r="36" ht="20.05" customHeight="1">
      <c r="B36" s="36">
        <v>2023</v>
      </c>
      <c r="C36" s="17"/>
      <c r="D36" s="14">
        <f>'Model'!F6</f>
        <v>1562.321322</v>
      </c>
      <c r="E36" s="14"/>
      <c r="F36" s="18"/>
      <c r="G36" s="12"/>
      <c r="H36" s="12"/>
      <c r="I36" s="16"/>
      <c r="J36" s="16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39062" style="37" customWidth="1"/>
    <col min="2" max="2" width="9.64062" style="37" customWidth="1"/>
    <col min="3" max="5" width="9.13281" style="37" customWidth="1"/>
    <col min="6" max="6" width="10.375" style="37" customWidth="1"/>
    <col min="7" max="16" width="9.13281" style="37" customWidth="1"/>
    <col min="17" max="16384" width="16.3516" style="37" customWidth="1"/>
  </cols>
  <sheetData>
    <row r="1" ht="24.5" customHeight="1"/>
    <row r="2" ht="27.65" customHeight="1">
      <c r="B2" t="s" s="2">
        <v>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44</v>
      </c>
      <c r="C3" t="s" s="5">
        <v>49</v>
      </c>
      <c r="D3" t="s" s="5">
        <v>50</v>
      </c>
      <c r="E3" t="s" s="5">
        <v>51</v>
      </c>
      <c r="F3" t="s" s="5">
        <v>52</v>
      </c>
      <c r="G3" t="s" s="5">
        <v>10</v>
      </c>
      <c r="H3" t="s" s="5">
        <v>12</v>
      </c>
      <c r="I3" t="s" s="5">
        <v>53</v>
      </c>
      <c r="J3" t="s" s="5">
        <v>11</v>
      </c>
      <c r="K3" t="s" s="5">
        <v>54</v>
      </c>
      <c r="L3" t="s" s="5">
        <v>34</v>
      </c>
      <c r="M3" t="s" s="5">
        <v>36</v>
      </c>
      <c r="N3" t="s" s="5">
        <v>30</v>
      </c>
      <c r="O3" t="s" s="5">
        <v>36</v>
      </c>
      <c r="P3" s="38"/>
    </row>
    <row r="4" ht="20.25" customHeight="1">
      <c r="B4" s="29">
        <v>2015</v>
      </c>
      <c r="C4" s="30">
        <v>1043</v>
      </c>
      <c r="D4" s="33">
        <v>-4.75</v>
      </c>
      <c r="E4" s="33">
        <v>23.24</v>
      </c>
      <c r="F4" s="33">
        <v>-56.7</v>
      </c>
      <c r="G4" s="33">
        <v>-2.4</v>
      </c>
      <c r="H4" s="33"/>
      <c r="I4" s="33">
        <v>-15</v>
      </c>
      <c r="J4" s="33">
        <v>-7</v>
      </c>
      <c r="K4" s="33">
        <f>G4+E4+F4+D4</f>
        <v>-40.61</v>
      </c>
      <c r="L4" s="8"/>
      <c r="M4" s="8"/>
      <c r="N4" s="33">
        <f>-(H4+I4)</f>
        <v>15</v>
      </c>
      <c r="O4" s="8"/>
      <c r="P4" s="39">
        <v>1</v>
      </c>
    </row>
    <row r="5" ht="20.05" customHeight="1">
      <c r="B5" s="35"/>
      <c r="C5" s="17">
        <f>2168.3-C4</f>
        <v>1125.3</v>
      </c>
      <c r="D5" s="18">
        <f>-9.5-D4</f>
        <v>-4.75</v>
      </c>
      <c r="E5" s="18">
        <f>100.9-E4</f>
        <v>77.66</v>
      </c>
      <c r="F5" s="18">
        <f>-112.9-F4</f>
        <v>-56.2</v>
      </c>
      <c r="G5" s="18">
        <f>-4.7-G4</f>
        <v>-2.3</v>
      </c>
      <c r="H5" s="18"/>
      <c r="I5" s="18">
        <v>-15</v>
      </c>
      <c r="J5" s="18">
        <f>-14-J4</f>
        <v>-7</v>
      </c>
      <c r="K5" s="18">
        <f>G5+E5+F5+D5</f>
        <v>14.41</v>
      </c>
      <c r="L5" s="25"/>
      <c r="M5" s="18"/>
      <c r="N5" s="18">
        <f>-(H5+I5)+N4</f>
        <v>30</v>
      </c>
      <c r="O5" s="18"/>
      <c r="P5" s="18">
        <f>1+P4</f>
        <v>2</v>
      </c>
    </row>
    <row r="6" ht="20.05" customHeight="1">
      <c r="B6" s="35"/>
      <c r="C6" s="17">
        <f>3406.8-SUM(C4:C5)</f>
        <v>1238.5</v>
      </c>
      <c r="D6" s="18">
        <f>-14.25-SUM(D4:D5)</f>
        <v>-4.75</v>
      </c>
      <c r="E6" s="18">
        <f>156-SUM(E4:E5)</f>
        <v>55.1</v>
      </c>
      <c r="F6" s="18">
        <f>-158.5-SUM(F4:F5)</f>
        <v>-45.6</v>
      </c>
      <c r="G6" s="18">
        <f>-6.8-SUM(G4:G5)</f>
        <v>-2.1</v>
      </c>
      <c r="H6" s="18"/>
      <c r="I6" s="18">
        <v>-15</v>
      </c>
      <c r="J6" s="18">
        <f>-80.8-SUM(J4:J5)</f>
        <v>-66.8</v>
      </c>
      <c r="K6" s="18">
        <f>G6+E6+F6+D6</f>
        <v>2.65</v>
      </c>
      <c r="L6" s="25"/>
      <c r="M6" s="18"/>
      <c r="N6" s="18">
        <f>-(H6+I6)+N5</f>
        <v>45</v>
      </c>
      <c r="O6" s="18"/>
      <c r="P6" s="18">
        <f>1+P5</f>
        <v>3</v>
      </c>
    </row>
    <row r="7" ht="20.05" customHeight="1">
      <c r="B7" s="35"/>
      <c r="C7" s="17">
        <f>4633-SUM(C4:C6)</f>
        <v>1226.2</v>
      </c>
      <c r="D7" s="18">
        <f>-19-SUM(D4:D6)</f>
        <v>-4.75</v>
      </c>
      <c r="E7" s="18">
        <f>336.23-SUM(E4:E6)</f>
        <v>180.23</v>
      </c>
      <c r="F7" s="18">
        <f>-241-SUM(F4:F6)</f>
        <v>-82.5</v>
      </c>
      <c r="G7" s="18">
        <f>-8.7-SUM(G4:G6)</f>
        <v>-1.9</v>
      </c>
      <c r="H7" s="18"/>
      <c r="I7" s="18">
        <v>-15</v>
      </c>
      <c r="J7" s="18">
        <f>-89.8-SUM(J4:J6)</f>
        <v>-9</v>
      </c>
      <c r="K7" s="18">
        <f>G7+E7+F7+D7</f>
        <v>91.08</v>
      </c>
      <c r="L7" s="25"/>
      <c r="M7" s="18"/>
      <c r="N7" s="18">
        <f>-(H7+I7)+N6</f>
        <v>60</v>
      </c>
      <c r="O7" s="18"/>
      <c r="P7" s="18">
        <f>1+P6</f>
        <v>4</v>
      </c>
    </row>
    <row r="8" ht="20.05" customHeight="1">
      <c r="B8" s="36">
        <v>2016</v>
      </c>
      <c r="C8" s="17">
        <v>1133.53</v>
      </c>
      <c r="D8" s="18">
        <v>-4.75</v>
      </c>
      <c r="E8" s="18">
        <v>6.48</v>
      </c>
      <c r="F8" s="18">
        <v>-48.25</v>
      </c>
      <c r="G8" s="18">
        <v>-1.8</v>
      </c>
      <c r="H8" s="18"/>
      <c r="I8" s="18">
        <v>-9</v>
      </c>
      <c r="J8" s="18">
        <v>-7.54</v>
      </c>
      <c r="K8" s="18">
        <f>G8+E8+F8+D8</f>
        <v>-48.32</v>
      </c>
      <c r="L8" s="18">
        <f>AVERAGE(K5:K8)</f>
        <v>14.955</v>
      </c>
      <c r="M8" s="18"/>
      <c r="N8" s="18">
        <f>-(H8+I8)+N7</f>
        <v>69</v>
      </c>
      <c r="O8" s="18"/>
      <c r="P8" s="18">
        <f>1+P7</f>
        <v>5</v>
      </c>
    </row>
    <row r="9" ht="20.05" customHeight="1">
      <c r="B9" s="35"/>
      <c r="C9" s="17">
        <f>2376.8-C8</f>
        <v>1243.27</v>
      </c>
      <c r="D9" s="18">
        <f>-9.5-D8</f>
        <v>-4.75</v>
      </c>
      <c r="E9" s="18">
        <f>31.93-E8</f>
        <v>25.45</v>
      </c>
      <c r="F9" s="18">
        <f>-95.27-F8</f>
        <v>-47.02</v>
      </c>
      <c r="G9" s="20">
        <v>-1.7</v>
      </c>
      <c r="H9" s="18"/>
      <c r="I9" s="18">
        <v>-9</v>
      </c>
      <c r="J9" s="18">
        <f>-15.42-J8</f>
        <v>-7.88</v>
      </c>
      <c r="K9" s="18">
        <f>G9+E9+F9+D9</f>
        <v>-28.02</v>
      </c>
      <c r="L9" s="18">
        <f>AVERAGE(K6:K9)</f>
        <v>4.3475</v>
      </c>
      <c r="M9" s="18"/>
      <c r="N9" s="18">
        <f>-(H9+I9)+N8</f>
        <v>78</v>
      </c>
      <c r="O9" s="18"/>
      <c r="P9" s="18">
        <f>1+P8</f>
        <v>6</v>
      </c>
    </row>
    <row r="10" ht="20.05" customHeight="1">
      <c r="B10" s="35"/>
      <c r="C10" s="17">
        <f>3666.67-SUM(C8:C9)</f>
        <v>1289.87</v>
      </c>
      <c r="D10" s="18">
        <f>-14.25-SUM(D8:D9)</f>
        <v>-4.75</v>
      </c>
      <c r="E10" s="18">
        <f>197-SUM(E8:E9)</f>
        <v>165.07</v>
      </c>
      <c r="F10" s="18">
        <f>-147.9-SUM(F8:F9)</f>
        <v>-52.63</v>
      </c>
      <c r="G10" s="20">
        <v>-1.3</v>
      </c>
      <c r="H10" s="18"/>
      <c r="I10" s="18">
        <v>-9</v>
      </c>
      <c r="J10" s="18">
        <f>-59.2-SUM(J8:J9)</f>
        <v>-43.78</v>
      </c>
      <c r="K10" s="18">
        <f>G10+E10+F10+D10</f>
        <v>106.39</v>
      </c>
      <c r="L10" s="18">
        <f>AVERAGE(K7:K10)</f>
        <v>30.2825</v>
      </c>
      <c r="M10" s="18"/>
      <c r="N10" s="18">
        <f>-(H10+I10)+N9</f>
        <v>87</v>
      </c>
      <c r="O10" s="18"/>
      <c r="P10" s="18">
        <f>1+P9</f>
        <v>7</v>
      </c>
    </row>
    <row r="11" ht="20.05" customHeight="1">
      <c r="B11" s="35"/>
      <c r="C11" s="17">
        <f>5017.99-SUM(C8:C10)</f>
        <v>1351.32</v>
      </c>
      <c r="D11" s="18"/>
      <c r="E11" s="18">
        <f>421.12-SUM(E8:E10)</f>
        <v>224.12</v>
      </c>
      <c r="F11" s="18">
        <f>-231-SUM(F8:F10)</f>
        <v>-83.09999999999999</v>
      </c>
      <c r="G11" s="20">
        <v>-0.7</v>
      </c>
      <c r="H11" s="18"/>
      <c r="I11" s="18">
        <v>-9</v>
      </c>
      <c r="J11" s="18">
        <f>-51-SUM(J8:J10)</f>
        <v>8.199999999999999</v>
      </c>
      <c r="K11" s="18">
        <f>G11+E11+F11+D11</f>
        <v>140.32</v>
      </c>
      <c r="L11" s="18">
        <f>AVERAGE(K8:K11)</f>
        <v>42.5925</v>
      </c>
      <c r="M11" s="18"/>
      <c r="N11" s="18">
        <f>-(H11+I11)+N10</f>
        <v>96</v>
      </c>
      <c r="O11" s="18"/>
      <c r="P11" s="18">
        <f>1+P10</f>
        <v>8</v>
      </c>
    </row>
    <row r="12" ht="20.05" customHeight="1">
      <c r="B12" s="36">
        <v>2017</v>
      </c>
      <c r="C12" s="17">
        <v>1238.6</v>
      </c>
      <c r="D12" s="18"/>
      <c r="E12" s="18">
        <v>3.4</v>
      </c>
      <c r="F12" s="18">
        <v>-54.98</v>
      </c>
      <c r="G12" s="18">
        <v>-0.5</v>
      </c>
      <c r="H12" s="18"/>
      <c r="I12" s="18">
        <v>-15</v>
      </c>
      <c r="J12" s="18">
        <v>-3.6</v>
      </c>
      <c r="K12" s="18">
        <f>G12+E12+F12+D12</f>
        <v>-52.08</v>
      </c>
      <c r="L12" s="18">
        <f>AVERAGE(K9:K12)</f>
        <v>41.6525</v>
      </c>
      <c r="M12" s="18"/>
      <c r="N12" s="18">
        <f>-(H12+I12)+N11</f>
        <v>111</v>
      </c>
      <c r="O12" s="18"/>
      <c r="P12" s="18">
        <f>1+P11</f>
        <v>9</v>
      </c>
    </row>
    <row r="13" ht="20.05" customHeight="1">
      <c r="B13" s="35"/>
      <c r="C13" s="17">
        <f>2680.69-C12</f>
        <v>1442.09</v>
      </c>
      <c r="D13" s="18"/>
      <c r="E13" s="18">
        <f>153.48-E12</f>
        <v>150.08</v>
      </c>
      <c r="F13" s="18">
        <f>-104.7-F12</f>
        <v>-49.72</v>
      </c>
      <c r="G13" s="18">
        <v>-0.5</v>
      </c>
      <c r="H13" s="18"/>
      <c r="I13" s="18">
        <v>-15</v>
      </c>
      <c r="J13" s="18">
        <f>-7-J12</f>
        <v>-3.4</v>
      </c>
      <c r="K13" s="18">
        <f>G13+E13+F13+D13</f>
        <v>99.86</v>
      </c>
      <c r="L13" s="18">
        <f>AVERAGE(K10:K13)</f>
        <v>73.6225</v>
      </c>
      <c r="M13" s="18"/>
      <c r="N13" s="18">
        <f>-(H13+I13)+N12</f>
        <v>126</v>
      </c>
      <c r="O13" s="18"/>
      <c r="P13" s="18">
        <f>1+P12</f>
        <v>10</v>
      </c>
    </row>
    <row r="14" ht="20.05" customHeight="1">
      <c r="B14" s="35"/>
      <c r="C14" s="17">
        <f>4006.64-SUM(C12:C13)</f>
        <v>1325.95</v>
      </c>
      <c r="D14" s="18"/>
      <c r="E14" s="18">
        <f>84.49-SUM(E12:E13)</f>
        <v>-68.98999999999999</v>
      </c>
      <c r="F14" s="18">
        <f>-158-SUM(F12:F13)</f>
        <v>-53.3</v>
      </c>
      <c r="G14" s="18">
        <v>-0.4</v>
      </c>
      <c r="H14" s="18"/>
      <c r="I14" s="18">
        <v>-15</v>
      </c>
      <c r="J14" s="18">
        <f>-60.66-SUM(J12:J13)</f>
        <v>-53.66</v>
      </c>
      <c r="K14" s="18">
        <f>G14+E14+F14+D14</f>
        <v>-122.69</v>
      </c>
      <c r="L14" s="18">
        <f>AVERAGE(K11:K14)</f>
        <v>16.3525</v>
      </c>
      <c r="M14" s="18"/>
      <c r="N14" s="18">
        <f>-(H14+I14)+N13</f>
        <v>141</v>
      </c>
      <c r="O14" s="18"/>
      <c r="P14" s="18">
        <f>1+P13</f>
        <v>11</v>
      </c>
    </row>
    <row r="15" ht="20.05" customHeight="1">
      <c r="B15" s="35"/>
      <c r="C15" s="17">
        <f>5458.69-SUM(C12:C14)</f>
        <v>1452.05</v>
      </c>
      <c r="D15" s="18"/>
      <c r="E15" s="18">
        <f>320-SUM(E12:E14)</f>
        <v>235.51</v>
      </c>
      <c r="F15" s="18">
        <f>-242.47-SUM(F12:F14)</f>
        <v>-84.47</v>
      </c>
      <c r="G15" s="18">
        <v>-0.8</v>
      </c>
      <c r="H15" s="18"/>
      <c r="I15" s="18">
        <v>-15</v>
      </c>
      <c r="J15" s="18">
        <f>-73.8-SUM(J12:J14)</f>
        <v>-13.14</v>
      </c>
      <c r="K15" s="18">
        <f>G15+E15+F15+D15</f>
        <v>150.24</v>
      </c>
      <c r="L15" s="18">
        <f>AVERAGE(K12:K15)</f>
        <v>18.8325</v>
      </c>
      <c r="M15" s="18"/>
      <c r="N15" s="18">
        <f>-(H15+I15)+N14</f>
        <v>156</v>
      </c>
      <c r="O15" s="18"/>
      <c r="P15" s="18">
        <f>1+P14</f>
        <v>12</v>
      </c>
    </row>
    <row r="16" ht="20.05" customHeight="1">
      <c r="B16" s="36">
        <v>2018</v>
      </c>
      <c r="C16" s="17">
        <v>1370.86</v>
      </c>
      <c r="D16" s="18"/>
      <c r="E16" s="18">
        <v>45.12</v>
      </c>
      <c r="F16" s="18">
        <v>-119.83</v>
      </c>
      <c r="G16" s="18">
        <v>-0.5</v>
      </c>
      <c r="H16" s="18"/>
      <c r="I16" s="18">
        <v>-12.5</v>
      </c>
      <c r="J16" s="18">
        <v>-3.06</v>
      </c>
      <c r="K16" s="18">
        <f>G16+E16+F16+D16</f>
        <v>-75.20999999999999</v>
      </c>
      <c r="L16" s="18">
        <f>AVERAGE(K13:K16)</f>
        <v>13.05</v>
      </c>
      <c r="M16" s="18"/>
      <c r="N16" s="18">
        <f>-(H16+I16)+N15</f>
        <v>168.5</v>
      </c>
      <c r="O16" s="18"/>
      <c r="P16" s="18">
        <f>1+P15</f>
        <v>13</v>
      </c>
    </row>
    <row r="17" ht="20.05" customHeight="1">
      <c r="B17" s="35"/>
      <c r="C17" s="17">
        <f>3044.4-C16</f>
        <v>1673.54</v>
      </c>
      <c r="D17" s="18"/>
      <c r="E17" s="18">
        <f>304.85-E16</f>
        <v>259.73</v>
      </c>
      <c r="F17" s="18">
        <f>-180.7-F16</f>
        <v>-60.87</v>
      </c>
      <c r="G17" s="18">
        <v>-0.4</v>
      </c>
      <c r="H17" s="18"/>
      <c r="I17" s="18">
        <v>-12.5</v>
      </c>
      <c r="J17" s="18">
        <f>-5.6-J16</f>
        <v>-2.54</v>
      </c>
      <c r="K17" s="18">
        <f>G17+E17+F17+D17</f>
        <v>198.46</v>
      </c>
      <c r="L17" s="18">
        <f>AVERAGE(K14:K17)</f>
        <v>37.7</v>
      </c>
      <c r="M17" s="18"/>
      <c r="N17" s="18">
        <f>-(H17+I17)+N16</f>
        <v>181</v>
      </c>
      <c r="O17" s="18"/>
      <c r="P17" s="18">
        <f>1+P16</f>
        <v>14</v>
      </c>
    </row>
    <row r="18" ht="20.05" customHeight="1">
      <c r="B18" s="35"/>
      <c r="C18" s="17">
        <f>4551.35-SUM(C16:C17)</f>
        <v>1506.95</v>
      </c>
      <c r="D18" s="18"/>
      <c r="E18" s="18">
        <f>325.2-SUM(E16:E17)</f>
        <v>20.35</v>
      </c>
      <c r="F18" s="18">
        <f>-237.4-SUM(F16:F17)</f>
        <v>-56.7</v>
      </c>
      <c r="G18" s="18">
        <v>-0.3</v>
      </c>
      <c r="H18" s="18"/>
      <c r="I18" s="18">
        <v>-12.5</v>
      </c>
      <c r="J18" s="18">
        <f>-60.96-SUM(J16:J17)</f>
        <v>-55.36</v>
      </c>
      <c r="K18" s="18">
        <f>G18+E18+F18+D18</f>
        <v>-36.65</v>
      </c>
      <c r="L18" s="18">
        <f>AVERAGE(K15:K18)</f>
        <v>59.21</v>
      </c>
      <c r="M18" s="18"/>
      <c r="N18" s="18">
        <f>-(H18+I18)+N17</f>
        <v>193.5</v>
      </c>
      <c r="O18" s="18"/>
      <c r="P18" s="18">
        <f>1+P17</f>
        <v>15</v>
      </c>
    </row>
    <row r="19" ht="20.05" customHeight="1">
      <c r="B19" s="35"/>
      <c r="C19" s="17">
        <f>6170-SUM(C16:C18)</f>
        <v>1618.65</v>
      </c>
      <c r="D19" s="18"/>
      <c r="E19" s="18">
        <f>573.6-SUM(E16:E18)</f>
        <v>248.4</v>
      </c>
      <c r="F19" s="18">
        <f>-317.8-SUM(F16:F18)</f>
        <v>-80.40000000000001</v>
      </c>
      <c r="G19" s="18">
        <v>-1</v>
      </c>
      <c r="H19" s="18"/>
      <c r="I19" s="18">
        <v>-12.5</v>
      </c>
      <c r="J19" s="18">
        <f>-65.68-SUM(J16:J18)</f>
        <v>-4.72</v>
      </c>
      <c r="K19" s="18">
        <f>G19+E19+F19+D19</f>
        <v>167</v>
      </c>
      <c r="L19" s="18">
        <f>AVERAGE(K16:K19)</f>
        <v>63.4</v>
      </c>
      <c r="M19" s="18"/>
      <c r="N19" s="18">
        <f>-(H19+I19)+N18</f>
        <v>206</v>
      </c>
      <c r="O19" s="18"/>
      <c r="P19" s="18">
        <f>1+P18</f>
        <v>16</v>
      </c>
    </row>
    <row r="20" ht="20.05" customHeight="1">
      <c r="B20" s="36">
        <v>2019</v>
      </c>
      <c r="C20" s="17">
        <v>1575.55</v>
      </c>
      <c r="D20" s="18"/>
      <c r="E20" s="18">
        <v>10.6</v>
      </c>
      <c r="F20" s="18">
        <v>-110.4</v>
      </c>
      <c r="G20" s="18">
        <v>-0.9</v>
      </c>
      <c r="H20" s="18"/>
      <c r="I20" s="18">
        <v>-16</v>
      </c>
      <c r="J20" s="18">
        <v>-3.8</v>
      </c>
      <c r="K20" s="18">
        <f>G20+E20+F20+D20</f>
        <v>-100.7</v>
      </c>
      <c r="L20" s="18">
        <f>AVERAGE(K17:K20)</f>
        <v>57.0275</v>
      </c>
      <c r="M20" s="18"/>
      <c r="N20" s="18">
        <f>-(H20+I20)+N19</f>
        <v>222</v>
      </c>
      <c r="O20" s="18"/>
      <c r="P20" s="18">
        <f>1+P19</f>
        <v>17</v>
      </c>
    </row>
    <row r="21" ht="20.05" customHeight="1">
      <c r="B21" s="35"/>
      <c r="C21" s="17">
        <f>3488.75-C20</f>
        <v>1913.2</v>
      </c>
      <c r="D21" s="18"/>
      <c r="E21" s="18">
        <f>191.9-E20</f>
        <v>181.3</v>
      </c>
      <c r="F21" s="18">
        <f>-184.49-F20</f>
        <v>-74.09</v>
      </c>
      <c r="G21" s="18">
        <v>-1.7</v>
      </c>
      <c r="H21" s="18"/>
      <c r="I21" s="18">
        <v>-16</v>
      </c>
      <c r="J21" s="18">
        <f>-7.2-J20</f>
        <v>-3.4</v>
      </c>
      <c r="K21" s="18">
        <f>G21+E21+F21+D21</f>
        <v>105.51</v>
      </c>
      <c r="L21" s="18">
        <f>AVERAGE(K18:K21)</f>
        <v>33.79</v>
      </c>
      <c r="M21" s="18"/>
      <c r="N21" s="18">
        <f>-(H21+I21)+N20</f>
        <v>238</v>
      </c>
      <c r="O21" s="18"/>
      <c r="P21" s="18">
        <f>1+P20</f>
        <v>18</v>
      </c>
    </row>
    <row r="22" ht="20.05" customHeight="1">
      <c r="B22" s="35"/>
      <c r="C22" s="17">
        <f>5190-SUM(C20:C21)</f>
        <v>1701.25</v>
      </c>
      <c r="D22" s="18"/>
      <c r="E22" s="18">
        <f>136.33-SUM(E20:E21)</f>
        <v>-55.57</v>
      </c>
      <c r="F22" s="18">
        <f>-296-SUM(F20:F21)</f>
        <v>-111.51</v>
      </c>
      <c r="G22" s="18">
        <v>-2.9</v>
      </c>
      <c r="H22" s="18"/>
      <c r="I22" s="18">
        <v>-16</v>
      </c>
      <c r="J22" s="18">
        <f>-75.35-SUM(J20:J21)</f>
        <v>-68.15000000000001</v>
      </c>
      <c r="K22" s="18">
        <f>G22+E22+F22+D22</f>
        <v>-169.98</v>
      </c>
      <c r="L22" s="18">
        <f>AVERAGE(K19:K22)</f>
        <v>0.4575</v>
      </c>
      <c r="M22" s="18"/>
      <c r="N22" s="18">
        <f>-(H22+I22)+N21</f>
        <v>254</v>
      </c>
      <c r="O22" s="18"/>
      <c r="P22" s="18">
        <f>1+P21</f>
        <v>19</v>
      </c>
    </row>
    <row r="23" ht="20.05" customHeight="1">
      <c r="B23" s="35"/>
      <c r="C23" s="17">
        <f>6950.5-SUM(C20:C22)</f>
        <v>1760.5</v>
      </c>
      <c r="D23" s="18"/>
      <c r="E23" s="18">
        <f>490.68-SUM(E20:E22)</f>
        <v>354.35</v>
      </c>
      <c r="F23" s="18">
        <f>-536.25-SUM(F20:F22)</f>
        <v>-240.25</v>
      </c>
      <c r="G23" s="18">
        <v>-2.1</v>
      </c>
      <c r="H23" s="18"/>
      <c r="I23" s="18">
        <v>-16</v>
      </c>
      <c r="J23" s="18">
        <f>-79-SUM(J20:J22)</f>
        <v>-3.65</v>
      </c>
      <c r="K23" s="18">
        <f>G23+E23+F23+D23</f>
        <v>112</v>
      </c>
      <c r="L23" s="18">
        <f>AVERAGE(K20:K23)</f>
        <v>-13.2925</v>
      </c>
      <c r="M23" s="18"/>
      <c r="N23" s="18">
        <f>-(H23+I23)+N22</f>
        <v>270</v>
      </c>
      <c r="O23" s="18"/>
      <c r="P23" s="18">
        <f>1+P22</f>
        <v>20</v>
      </c>
    </row>
    <row r="24" ht="20.05" customHeight="1">
      <c r="B24" s="36">
        <v>2020</v>
      </c>
      <c r="C24" s="17">
        <v>1571.58</v>
      </c>
      <c r="D24" s="18"/>
      <c r="E24" s="18">
        <v>-37.8</v>
      </c>
      <c r="F24" s="18">
        <v>-155</v>
      </c>
      <c r="G24" s="18">
        <v>-2</v>
      </c>
      <c r="H24" s="18">
        <v>45.5</v>
      </c>
      <c r="I24" s="18">
        <v>-0.75</v>
      </c>
      <c r="J24" s="18">
        <v>-5.4</v>
      </c>
      <c r="K24" s="18">
        <f>G24+E24+F24+D24</f>
        <v>-194.8</v>
      </c>
      <c r="L24" s="18">
        <f>AVERAGE(K21:K24)</f>
        <v>-36.8175</v>
      </c>
      <c r="M24" s="18"/>
      <c r="N24" s="18">
        <f>-(H24+I24)+N23</f>
        <v>225.25</v>
      </c>
      <c r="O24" s="18"/>
      <c r="P24" s="18">
        <f>1+P23</f>
        <v>21</v>
      </c>
    </row>
    <row r="25" ht="20.05" customHeight="1">
      <c r="B25" s="35"/>
      <c r="C25" s="17">
        <f>2584-C24</f>
        <v>1012.42</v>
      </c>
      <c r="D25" s="18"/>
      <c r="E25" s="18">
        <f>34.87-E24</f>
        <v>72.67</v>
      </c>
      <c r="F25" s="18">
        <f>-208.15-F24</f>
        <v>-53.15</v>
      </c>
      <c r="G25" s="18">
        <v>-1.7</v>
      </c>
      <c r="H25" s="18">
        <v>45.5</v>
      </c>
      <c r="I25" s="18">
        <v>-0.75</v>
      </c>
      <c r="J25" s="18">
        <f>-10.7-J24</f>
        <v>-5.3</v>
      </c>
      <c r="K25" s="18">
        <f>G25+E25+F25+D25</f>
        <v>17.82</v>
      </c>
      <c r="L25" s="18">
        <f>AVERAGE(K22:K25)</f>
        <v>-58.74</v>
      </c>
      <c r="M25" s="18"/>
      <c r="N25" s="18">
        <f>-(H25+I25)+N24</f>
        <v>180.5</v>
      </c>
      <c r="O25" s="18"/>
      <c r="P25" s="18">
        <f>1+P24</f>
        <v>22</v>
      </c>
    </row>
    <row r="26" ht="20.05" customHeight="1">
      <c r="B26" s="35"/>
      <c r="C26" s="17">
        <f>3702-SUM(C24:C25)</f>
        <v>1118</v>
      </c>
      <c r="D26" s="24"/>
      <c r="E26" s="18">
        <f>-123-SUM(E24:E25)</f>
        <v>-157.87</v>
      </c>
      <c r="F26" s="18">
        <f>-226-SUM(F24:F25)</f>
        <v>-17.85</v>
      </c>
      <c r="G26" s="18">
        <v>-0.9</v>
      </c>
      <c r="H26" s="18">
        <v>45.5</v>
      </c>
      <c r="I26" s="18">
        <v>-0.75</v>
      </c>
      <c r="J26" s="18">
        <f>31-SUM(J24:J25)</f>
        <v>41.7</v>
      </c>
      <c r="K26" s="18">
        <f>G26+E26+F26+D26</f>
        <v>-176.62</v>
      </c>
      <c r="L26" s="18">
        <f>AVERAGE(K23:K26)</f>
        <v>-60.4</v>
      </c>
      <c r="M26" s="18"/>
      <c r="N26" s="18">
        <f>-(H26+I26)+N25</f>
        <v>135.75</v>
      </c>
      <c r="O26" s="18"/>
      <c r="P26" s="18">
        <f>1+P25</f>
        <v>23</v>
      </c>
    </row>
    <row r="27" ht="20.05" customHeight="1">
      <c r="B27" s="35"/>
      <c r="C27" s="17">
        <f>5025.4-SUM(C24:C26)</f>
        <v>1323.4</v>
      </c>
      <c r="D27" s="24"/>
      <c r="E27" s="18">
        <f>203-SUM(E24:E26)</f>
        <v>326</v>
      </c>
      <c r="F27" s="18">
        <f>-303.1-SUM(F24:F26)</f>
        <v>-77.09999999999999</v>
      </c>
      <c r="G27" s="18">
        <f>-41.4-SUM(G24:G26)</f>
        <v>-36.8</v>
      </c>
      <c r="H27" s="18">
        <v>45.5</v>
      </c>
      <c r="I27" s="18">
        <v>-0.75</v>
      </c>
      <c r="J27" s="18">
        <f>120.5-SUM(J24:J26)</f>
        <v>89.5</v>
      </c>
      <c r="K27" s="18">
        <f>G27+E27+F27+D27</f>
        <v>212.1</v>
      </c>
      <c r="L27" s="18">
        <f>AVERAGE(K24:K27)</f>
        <v>-35.375</v>
      </c>
      <c r="M27" s="18"/>
      <c r="N27" s="18">
        <f>-(H27+I27)+N26</f>
        <v>91</v>
      </c>
      <c r="O27" s="18"/>
      <c r="P27" s="18">
        <f>1+P26</f>
        <v>24</v>
      </c>
    </row>
    <row r="28" ht="20.05" customHeight="1">
      <c r="B28" s="36">
        <v>2021</v>
      </c>
      <c r="C28" s="17">
        <v>1117.5</v>
      </c>
      <c r="D28" s="18"/>
      <c r="E28" s="18">
        <v>-163.6</v>
      </c>
      <c r="F28" s="18">
        <v>-111.6</v>
      </c>
      <c r="G28" s="18">
        <v>-21</v>
      </c>
      <c r="H28" s="18">
        <v>-10</v>
      </c>
      <c r="I28" s="18">
        <v>0</v>
      </c>
      <c r="J28" s="18">
        <v>-30.7</v>
      </c>
      <c r="K28" s="18">
        <f>G28+E28+F28+D28</f>
        <v>-296.2</v>
      </c>
      <c r="L28" s="18">
        <f>AVERAGE(K25:K28)</f>
        <v>-60.725</v>
      </c>
      <c r="M28" s="18"/>
      <c r="N28" s="18">
        <f>-(H28+I28)+N27</f>
        <v>101</v>
      </c>
      <c r="O28" s="18"/>
      <c r="P28" s="18">
        <f>1+P27</f>
        <v>25</v>
      </c>
    </row>
    <row r="29" ht="20.05" customHeight="1">
      <c r="B29" s="35"/>
      <c r="C29" s="17">
        <f>2513.9-C28</f>
        <v>1396.4</v>
      </c>
      <c r="D29" s="18"/>
      <c r="E29" s="18">
        <f>-326.1-E28</f>
        <v>-162.5</v>
      </c>
      <c r="F29" s="18">
        <f>-55.2-F28</f>
        <v>56.4</v>
      </c>
      <c r="G29" s="18">
        <f>-40-G28</f>
        <v>-19</v>
      </c>
      <c r="H29" s="18">
        <f>70-H28</f>
        <v>80</v>
      </c>
      <c r="I29" s="18">
        <v>0</v>
      </c>
      <c r="J29" s="18">
        <f>30.5-J28</f>
        <v>61.2</v>
      </c>
      <c r="K29" s="18">
        <f>G29+E29+F29+D29</f>
        <v>-125.1</v>
      </c>
      <c r="L29" s="18">
        <f>AVERAGE(K26:K29)</f>
        <v>-96.455</v>
      </c>
      <c r="M29" s="18"/>
      <c r="N29" s="18">
        <f>-(H29+I29)+N28</f>
        <v>21</v>
      </c>
      <c r="O29" s="18"/>
      <c r="P29" s="18">
        <f>1+P28</f>
        <v>26</v>
      </c>
    </row>
    <row r="30" ht="20.05" customHeight="1">
      <c r="B30" s="35"/>
      <c r="C30" s="17">
        <f>3561.5-SUM(C28:C29)</f>
        <v>1047.6</v>
      </c>
      <c r="D30" s="18"/>
      <c r="E30" s="18">
        <f>-289.9-SUM(E28:E29)</f>
        <v>36.2</v>
      </c>
      <c r="F30" s="18">
        <f>-34.5-SUM(F28:F29)</f>
        <v>20.7</v>
      </c>
      <c r="G30" s="18">
        <f>-209-SUM(G28:G29)</f>
        <v>-169</v>
      </c>
      <c r="H30" s="18">
        <f>181-H29-H28</f>
        <v>111</v>
      </c>
      <c r="I30" s="18">
        <v>0</v>
      </c>
      <c r="J30" s="18">
        <f>-27.6-SUM(J28:J29)</f>
        <v>-58.1</v>
      </c>
      <c r="K30" s="18">
        <f>G30+E30+F30+D30</f>
        <v>-112.1</v>
      </c>
      <c r="L30" s="18">
        <f>AVERAGE(K27:K30)</f>
        <v>-80.325</v>
      </c>
      <c r="M30" s="18"/>
      <c r="N30" s="18">
        <f>-(H30+I30)+N29</f>
        <v>-90</v>
      </c>
      <c r="O30" s="18"/>
      <c r="P30" s="18">
        <f>1+P29</f>
        <v>27</v>
      </c>
    </row>
    <row r="31" ht="20.05" customHeight="1">
      <c r="B31" s="35"/>
      <c r="C31" s="17">
        <f>4998-SUM(C28:C30)</f>
        <v>1436.5</v>
      </c>
      <c r="D31" s="18"/>
      <c r="E31" s="18">
        <f>-18.2-SUM(E28:E30)</f>
        <v>271.7</v>
      </c>
      <c r="F31" s="18">
        <f>-273.9-SUM(F28:F30)</f>
        <v>-239.4</v>
      </c>
      <c r="G31" s="18">
        <f>-92-G30-G29-G28</f>
        <v>117</v>
      </c>
      <c r="H31" s="18">
        <f>101-H30-H29-H28</f>
        <v>-80</v>
      </c>
      <c r="I31" s="18">
        <v>0</v>
      </c>
      <c r="J31" s="18">
        <f>9.8-SUM(J28:J30)</f>
        <v>37.4</v>
      </c>
      <c r="K31" s="18">
        <f>G31+E31+F31+D31</f>
        <v>149.3</v>
      </c>
      <c r="L31" s="18">
        <f>AVERAGE(K28:K31)</f>
        <v>-96.02500000000001</v>
      </c>
      <c r="M31" s="18"/>
      <c r="N31" s="18">
        <f>-(H31+I31)+N30</f>
        <v>-10</v>
      </c>
      <c r="O31" s="18"/>
      <c r="P31" s="18">
        <f>1+P30</f>
        <v>28</v>
      </c>
    </row>
    <row r="32" ht="20.05" customHeight="1">
      <c r="B32" s="36">
        <v>2022</v>
      </c>
      <c r="C32" s="17">
        <v>1321.9</v>
      </c>
      <c r="D32" s="18"/>
      <c r="E32" s="18">
        <v>-60.1</v>
      </c>
      <c r="F32" s="18">
        <v>-90.09999999999999</v>
      </c>
      <c r="G32" s="18">
        <f>-40.2-4</f>
        <v>-44.2</v>
      </c>
      <c r="H32" s="18">
        <f>J32-I32-G32</f>
        <v>-9.9</v>
      </c>
      <c r="I32" s="18">
        <v>0</v>
      </c>
      <c r="J32" s="18">
        <v>-54.1</v>
      </c>
      <c r="K32" s="18">
        <f>G32+E32+F32+D32</f>
        <v>-194.4</v>
      </c>
      <c r="L32" s="18">
        <f>AVERAGE(K29:K32)</f>
        <v>-70.575</v>
      </c>
      <c r="M32" s="18">
        <v>23.653733200080</v>
      </c>
      <c r="N32" s="18">
        <f>-(H32+I32)+N31</f>
        <v>-0.1</v>
      </c>
      <c r="O32" s="18">
        <v>-12.100952976660</v>
      </c>
      <c r="P32" s="18">
        <f>1+P31</f>
        <v>29</v>
      </c>
    </row>
    <row r="33" ht="20.05" customHeight="1">
      <c r="B33" s="35"/>
      <c r="C33" s="17"/>
      <c r="D33" s="18"/>
      <c r="E33" s="18"/>
      <c r="F33" s="18"/>
      <c r="G33" s="18"/>
      <c r="H33" s="18"/>
      <c r="I33" s="18"/>
      <c r="J33" s="18"/>
      <c r="K33" s="18"/>
      <c r="L33" s="25"/>
      <c r="M33" s="18">
        <f>SUM('Model'!F9:F11)</f>
        <v>25.891113</v>
      </c>
      <c r="N33" s="25"/>
      <c r="O33" s="18">
        <f>'Model'!F34</f>
        <v>184.369253</v>
      </c>
      <c r="P33" s="18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21875" style="40" customWidth="1"/>
    <col min="2" max="2" width="8.49219" style="40" customWidth="1"/>
    <col min="3" max="11" width="9.625" style="40" customWidth="1"/>
    <col min="12" max="16384" width="16.3516" style="40" customWidth="1"/>
  </cols>
  <sheetData>
    <row r="1" ht="33.6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55</v>
      </c>
      <c r="D3" t="s" s="5">
        <v>56</v>
      </c>
      <c r="E3" t="s" s="5">
        <v>57</v>
      </c>
      <c r="F3" t="s" s="5">
        <v>25</v>
      </c>
      <c r="G3" t="s" s="5">
        <v>12</v>
      </c>
      <c r="H3" t="s" s="5">
        <v>53</v>
      </c>
      <c r="I3" t="s" s="5">
        <v>27</v>
      </c>
      <c r="J3" t="s" s="5">
        <v>58</v>
      </c>
      <c r="K3" t="s" s="5">
        <v>36</v>
      </c>
    </row>
    <row r="4" ht="20.25" customHeight="1">
      <c r="B4" s="29">
        <v>2016</v>
      </c>
      <c r="C4" s="30">
        <v>603</v>
      </c>
      <c r="D4" s="33">
        <v>2328</v>
      </c>
      <c r="E4" s="33">
        <f>D4-C4</f>
        <v>1725</v>
      </c>
      <c r="F4" s="33">
        <f>489+427+252+83</f>
        <v>1251</v>
      </c>
      <c r="G4" s="33">
        <v>1206</v>
      </c>
      <c r="H4" s="33">
        <v>1122</v>
      </c>
      <c r="I4" s="33">
        <f>G4+H4-C4-E4</f>
        <v>0</v>
      </c>
      <c r="J4" s="33">
        <f>C4-G4</f>
        <v>-603</v>
      </c>
      <c r="K4" s="39"/>
    </row>
    <row r="5" ht="20.05" customHeight="1">
      <c r="B5" s="35"/>
      <c r="C5" s="17">
        <v>573</v>
      </c>
      <c r="D5" s="18">
        <v>2363</v>
      </c>
      <c r="E5" s="18">
        <f>D5-C5</f>
        <v>1790</v>
      </c>
      <c r="F5" s="18">
        <f>506+446+263+87</f>
        <v>1302</v>
      </c>
      <c r="G5" s="18">
        <v>1305</v>
      </c>
      <c r="H5" s="18">
        <v>1058</v>
      </c>
      <c r="I5" s="18">
        <f>G5+H5-C5-E5</f>
        <v>0</v>
      </c>
      <c r="J5" s="18">
        <f>C5-G5</f>
        <v>-732</v>
      </c>
      <c r="K5" s="24"/>
    </row>
    <row r="6" ht="20.05" customHeight="1">
      <c r="B6" s="35"/>
      <c r="C6" s="17">
        <v>642</v>
      </c>
      <c r="D6" s="18">
        <v>2406</v>
      </c>
      <c r="E6" s="18">
        <f>D6-C6</f>
        <v>1764</v>
      </c>
      <c r="F6" s="18">
        <f>525+469+259+94</f>
        <v>1347</v>
      </c>
      <c r="G6" s="18">
        <v>1299</v>
      </c>
      <c r="H6" s="18">
        <v>1107</v>
      </c>
      <c r="I6" s="18">
        <f>G6+H6-C6-E6</f>
        <v>0</v>
      </c>
      <c r="J6" s="18">
        <f>C6-G6</f>
        <v>-657</v>
      </c>
      <c r="K6" s="24"/>
    </row>
    <row r="7" ht="20.05" customHeight="1">
      <c r="B7" s="35"/>
      <c r="C7" s="17">
        <v>792</v>
      </c>
      <c r="D7" s="18">
        <v>2578</v>
      </c>
      <c r="E7" s="18">
        <f>D7-C7</f>
        <v>1786</v>
      </c>
      <c r="F7" s="18">
        <f>544+491+247+98</f>
        <v>1380</v>
      </c>
      <c r="G7" s="18">
        <v>1355</v>
      </c>
      <c r="H7" s="18">
        <v>1223</v>
      </c>
      <c r="I7" s="18">
        <f>G7+H7-C7-E7</f>
        <v>0</v>
      </c>
      <c r="J7" s="18">
        <f>C7-G7</f>
        <v>-563</v>
      </c>
      <c r="K7" s="24"/>
    </row>
    <row r="8" ht="20.05" customHeight="1">
      <c r="B8" s="36">
        <v>2017</v>
      </c>
      <c r="C8" s="17">
        <v>736</v>
      </c>
      <c r="D8" s="18">
        <v>2560</v>
      </c>
      <c r="E8" s="18">
        <f>D8-C8</f>
        <v>1824</v>
      </c>
      <c r="F8" s="18">
        <f>562+515+254+103</f>
        <v>1434</v>
      </c>
      <c r="G8" s="18">
        <v>1329</v>
      </c>
      <c r="H8" s="18">
        <v>1231</v>
      </c>
      <c r="I8" s="18">
        <f>G8+H8-C8-E8</f>
        <v>0</v>
      </c>
      <c r="J8" s="18">
        <f>C8-G8</f>
        <v>-593</v>
      </c>
      <c r="K8" s="24"/>
    </row>
    <row r="9" ht="20.05" customHeight="1">
      <c r="B9" s="35"/>
      <c r="C9" s="17">
        <v>833</v>
      </c>
      <c r="D9" s="18">
        <v>2675</v>
      </c>
      <c r="E9" s="18">
        <f>D9-C9</f>
        <v>1842</v>
      </c>
      <c r="F9" s="18">
        <f>582+540+276+111</f>
        <v>1509</v>
      </c>
      <c r="G9" s="18">
        <v>1468</v>
      </c>
      <c r="H9" s="18">
        <v>1207</v>
      </c>
      <c r="I9" s="18">
        <f>G9+H9-C9-E9</f>
        <v>0</v>
      </c>
      <c r="J9" s="18">
        <f>C9-G9</f>
        <v>-635</v>
      </c>
      <c r="K9" s="24"/>
    </row>
    <row r="10" ht="20.05" customHeight="1">
      <c r="B10" s="35"/>
      <c r="C10" s="17">
        <v>657</v>
      </c>
      <c r="D10" s="18">
        <v>2582</v>
      </c>
      <c r="E10" s="18">
        <f>D10-C10</f>
        <v>1925</v>
      </c>
      <c r="F10" s="18">
        <f>602+565+290+118</f>
        <v>1575</v>
      </c>
      <c r="G10" s="18">
        <v>1348</v>
      </c>
      <c r="H10" s="18">
        <v>1234</v>
      </c>
      <c r="I10" s="18">
        <f>G10+H10-C10-E10</f>
        <v>0</v>
      </c>
      <c r="J10" s="18">
        <f>C10-G10</f>
        <v>-691</v>
      </c>
      <c r="K10" s="24"/>
    </row>
    <row r="11" ht="20.05" customHeight="1">
      <c r="B11" s="35"/>
      <c r="C11" s="17">
        <v>795</v>
      </c>
      <c r="D11" s="18">
        <v>2749</v>
      </c>
      <c r="E11" s="18">
        <f>D11-C11</f>
        <v>1954</v>
      </c>
      <c r="F11" s="18">
        <f>622+591+265+113</f>
        <v>1591</v>
      </c>
      <c r="G11" s="18">
        <v>1456</v>
      </c>
      <c r="H11" s="18">
        <v>1293</v>
      </c>
      <c r="I11" s="18">
        <f>G11+H11-C11-E11</f>
        <v>0</v>
      </c>
      <c r="J11" s="18">
        <f>C11-G11</f>
        <v>-661</v>
      </c>
      <c r="K11" s="24"/>
    </row>
    <row r="12" ht="20.05" customHeight="1">
      <c r="B12" s="36">
        <v>2018</v>
      </c>
      <c r="C12" s="17">
        <v>718</v>
      </c>
      <c r="D12" s="18">
        <v>2796</v>
      </c>
      <c r="E12" s="18">
        <f>D12-C12</f>
        <v>2078</v>
      </c>
      <c r="F12" s="18">
        <f>644+616+285+120</f>
        <v>1665</v>
      </c>
      <c r="G12" s="18">
        <v>1509</v>
      </c>
      <c r="H12" s="18">
        <v>1287</v>
      </c>
      <c r="I12" s="18">
        <f>G12+H12-C12-E12</f>
        <v>0</v>
      </c>
      <c r="J12" s="18">
        <f>C12-G12</f>
        <v>-791</v>
      </c>
      <c r="K12" s="24"/>
    </row>
    <row r="13" ht="20.05" customHeight="1">
      <c r="B13" s="35"/>
      <c r="C13" s="17">
        <v>916</v>
      </c>
      <c r="D13" s="18">
        <v>2960</v>
      </c>
      <c r="E13" s="18">
        <f>D13-C13</f>
        <v>2044</v>
      </c>
      <c r="F13" s="18">
        <f>664+643+300+125</f>
        <v>1732</v>
      </c>
      <c r="G13" s="18">
        <v>1580</v>
      </c>
      <c r="H13" s="18">
        <v>1380</v>
      </c>
      <c r="I13" s="18">
        <f>G13+H13-C13-E13</f>
        <v>0</v>
      </c>
      <c r="J13" s="18">
        <f>C13-G13</f>
        <v>-664</v>
      </c>
      <c r="K13" s="24"/>
    </row>
    <row r="14" ht="20.05" customHeight="1">
      <c r="B14" s="35"/>
      <c r="C14" s="17">
        <v>826</v>
      </c>
      <c r="D14" s="18">
        <v>2850</v>
      </c>
      <c r="E14" s="18">
        <f>D14-C14</f>
        <v>2024</v>
      </c>
      <c r="F14" s="18">
        <f>686+671+295+132</f>
        <v>1784</v>
      </c>
      <c r="G14" s="18">
        <v>1467</v>
      </c>
      <c r="H14" s="18">
        <v>1383</v>
      </c>
      <c r="I14" s="18">
        <f>G14+H14-C14-E14</f>
        <v>0</v>
      </c>
      <c r="J14" s="18">
        <f>C14-G14</f>
        <v>-641</v>
      </c>
      <c r="K14" s="24"/>
    </row>
    <row r="15" ht="20.05" customHeight="1">
      <c r="B15" s="35"/>
      <c r="C15" s="17">
        <v>988</v>
      </c>
      <c r="D15" s="18">
        <v>2990</v>
      </c>
      <c r="E15" s="18">
        <f>D15-C15</f>
        <v>2002</v>
      </c>
      <c r="F15" s="18">
        <f>709+700+290+139</f>
        <v>1838</v>
      </c>
      <c r="G15" s="18">
        <v>1450</v>
      </c>
      <c r="H15" s="18">
        <v>1540</v>
      </c>
      <c r="I15" s="18">
        <f>G15+H15-C15-E15</f>
        <v>0</v>
      </c>
      <c r="J15" s="18">
        <f>C15-G15</f>
        <v>-462</v>
      </c>
      <c r="K15" s="24"/>
    </row>
    <row r="16" ht="20.05" customHeight="1">
      <c r="B16" s="36">
        <v>2019</v>
      </c>
      <c r="C16" s="17">
        <v>884</v>
      </c>
      <c r="D16" s="18">
        <v>3141</v>
      </c>
      <c r="E16" s="18">
        <f>D16-C16</f>
        <v>2257</v>
      </c>
      <c r="F16" s="18">
        <f>733+730+287+144</f>
        <v>1894</v>
      </c>
      <c r="G16" s="18">
        <v>1596</v>
      </c>
      <c r="H16" s="18">
        <v>1545</v>
      </c>
      <c r="I16" s="18">
        <f>G16+H16-C16-E16</f>
        <v>0</v>
      </c>
      <c r="J16" s="18">
        <f>C16-G16</f>
        <v>-712</v>
      </c>
      <c r="K16" s="24"/>
    </row>
    <row r="17" ht="20.05" customHeight="1">
      <c r="B17" s="35"/>
      <c r="C17" s="17">
        <v>987</v>
      </c>
      <c r="D17" s="18">
        <v>3253</v>
      </c>
      <c r="E17" s="18">
        <f>D17-C17</f>
        <v>2266</v>
      </c>
      <c r="F17" s="18">
        <f>758+761+302+152</f>
        <v>1973</v>
      </c>
      <c r="G17" s="18">
        <v>1659</v>
      </c>
      <c r="H17" s="18">
        <v>1594</v>
      </c>
      <c r="I17" s="18">
        <f>G17+H17-C17-E17</f>
        <v>0</v>
      </c>
      <c r="J17" s="18">
        <f>C17-G17</f>
        <v>-672</v>
      </c>
      <c r="K17" s="24"/>
    </row>
    <row r="18" ht="20.05" customHeight="1">
      <c r="B18" s="35"/>
      <c r="C18" s="17">
        <v>752</v>
      </c>
      <c r="D18" s="18">
        <v>3176</v>
      </c>
      <c r="E18" s="18">
        <f>D18-C18</f>
        <v>2424</v>
      </c>
      <c r="F18" s="18">
        <f>776+792+319+160</f>
        <v>2047</v>
      </c>
      <c r="G18" s="18">
        <v>1575</v>
      </c>
      <c r="H18" s="18">
        <v>1601</v>
      </c>
      <c r="I18" s="18">
        <f>G18+H18-C18-E18</f>
        <v>0</v>
      </c>
      <c r="J18" s="18">
        <f>C18-G18</f>
        <v>-823</v>
      </c>
      <c r="K18" s="24"/>
    </row>
    <row r="19" ht="20.05" customHeight="1">
      <c r="B19" s="35"/>
      <c r="C19" s="17">
        <v>862</v>
      </c>
      <c r="D19" s="18">
        <v>3405</v>
      </c>
      <c r="E19" s="18">
        <f>D19-C19</f>
        <v>2543</v>
      </c>
      <c r="F19" s="18">
        <f>803+823+299+166</f>
        <v>2091</v>
      </c>
      <c r="G19" s="18">
        <v>1745</v>
      </c>
      <c r="H19" s="18">
        <v>1660</v>
      </c>
      <c r="I19" s="18">
        <f>G19+H19-C19-E19</f>
        <v>0</v>
      </c>
      <c r="J19" s="18">
        <f>C19-G19</f>
        <v>-883</v>
      </c>
      <c r="K19" s="24"/>
    </row>
    <row r="20" ht="20.05" customHeight="1">
      <c r="B20" s="36">
        <v>2020</v>
      </c>
      <c r="C20" s="17">
        <v>671</v>
      </c>
      <c r="D20" s="18">
        <v>3620</v>
      </c>
      <c r="E20" s="18">
        <f>D20-C20</f>
        <v>2949</v>
      </c>
      <c r="F20" s="18">
        <f>830+855+317+175</f>
        <v>2177</v>
      </c>
      <c r="G20" s="18">
        <v>1937</v>
      </c>
      <c r="H20" s="18">
        <v>1683</v>
      </c>
      <c r="I20" s="18">
        <f>G20+H20-C20-E20</f>
        <v>0</v>
      </c>
      <c r="J20" s="18">
        <f>C20-G20</f>
        <v>-1266</v>
      </c>
      <c r="K20" s="24"/>
    </row>
    <row r="21" ht="20.05" customHeight="1">
      <c r="B21" s="35"/>
      <c r="C21" s="17">
        <v>679</v>
      </c>
      <c r="D21" s="18">
        <v>3627</v>
      </c>
      <c r="E21" s="18">
        <f>D21-C21</f>
        <v>2948</v>
      </c>
      <c r="F21" s="18">
        <f>859+883+330+185</f>
        <v>2257</v>
      </c>
      <c r="G21" s="18">
        <v>2125</v>
      </c>
      <c r="H21" s="18">
        <v>1502</v>
      </c>
      <c r="I21" s="18">
        <f>G21+H21-C21-E21</f>
        <v>0</v>
      </c>
      <c r="J21" s="18">
        <f>C21-G21</f>
        <v>-1446</v>
      </c>
      <c r="K21" s="24"/>
    </row>
    <row r="22" ht="20.05" customHeight="1">
      <c r="B22" s="35"/>
      <c r="C22" s="17">
        <v>547</v>
      </c>
      <c r="D22" s="18">
        <v>3513</v>
      </c>
      <c r="E22" s="18">
        <f>D22-C22</f>
        <v>2966</v>
      </c>
      <c r="F22" s="18">
        <f>888+193+82+916</f>
        <v>2079</v>
      </c>
      <c r="G22" s="18">
        <v>2140</v>
      </c>
      <c r="H22" s="18">
        <v>1373</v>
      </c>
      <c r="I22" s="18">
        <f>G22+H22-C22-E22</f>
        <v>0</v>
      </c>
      <c r="J22" s="18">
        <f>C22-G22</f>
        <v>-1593</v>
      </c>
      <c r="K22" s="24"/>
    </row>
    <row r="23" ht="20.05" customHeight="1">
      <c r="B23" s="35"/>
      <c r="C23" s="23">
        <v>883</v>
      </c>
      <c r="D23" s="18">
        <v>3727</v>
      </c>
      <c r="E23" s="18">
        <f>D23-C23</f>
        <v>2844</v>
      </c>
      <c r="F23" s="18">
        <f>912+198+940+5+124</f>
        <v>2179</v>
      </c>
      <c r="G23" s="18">
        <v>2480</v>
      </c>
      <c r="H23" s="18">
        <v>1247</v>
      </c>
      <c r="I23" s="18">
        <f>G23+H23-C23-E23</f>
        <v>0</v>
      </c>
      <c r="J23" s="18">
        <f>C23-G23</f>
        <v>-1597</v>
      </c>
      <c r="K23" s="24"/>
    </row>
    <row r="24" ht="20.05" customHeight="1">
      <c r="B24" s="36">
        <v>2021</v>
      </c>
      <c r="C24" s="23">
        <v>578</v>
      </c>
      <c r="D24" s="18">
        <v>3497</v>
      </c>
      <c r="E24" s="18">
        <f>D24-C24</f>
        <v>2919</v>
      </c>
      <c r="F24" s="18">
        <f>157+204+5+963+940</f>
        <v>2269</v>
      </c>
      <c r="G24" s="18">
        <v>2308</v>
      </c>
      <c r="H24" s="18">
        <v>1189</v>
      </c>
      <c r="I24" s="18">
        <f>G24+H24-C24-E24</f>
        <v>0</v>
      </c>
      <c r="J24" s="18">
        <f>C24-G24</f>
        <v>-1730</v>
      </c>
      <c r="K24" s="24"/>
    </row>
    <row r="25" ht="20.05" customHeight="1">
      <c r="B25" s="35"/>
      <c r="C25" s="23">
        <v>533</v>
      </c>
      <c r="D25" s="18">
        <v>3416</v>
      </c>
      <c r="E25" s="18">
        <f>D25-C25</f>
        <v>2883</v>
      </c>
      <c r="F25" s="18">
        <f>964+996+213</f>
        <v>2173</v>
      </c>
      <c r="G25" s="18">
        <v>2242</v>
      </c>
      <c r="H25" s="18">
        <v>1174</v>
      </c>
      <c r="I25" s="18">
        <f>G25+H25-C25-E25</f>
        <v>0</v>
      </c>
      <c r="J25" s="18">
        <f>C25-G25</f>
        <v>-1709</v>
      </c>
      <c r="K25" s="24"/>
    </row>
    <row r="26" ht="20.05" customHeight="1">
      <c r="B26" s="35"/>
      <c r="C26" s="23">
        <v>531</v>
      </c>
      <c r="D26" s="18">
        <v>3546</v>
      </c>
      <c r="E26" s="18">
        <f>D26-C26</f>
        <v>3015</v>
      </c>
      <c r="F26" s="18">
        <f>996+219+223</f>
        <v>1438</v>
      </c>
      <c r="G26" s="18">
        <v>2497</v>
      </c>
      <c r="H26" s="18">
        <v>1049</v>
      </c>
      <c r="I26" s="18">
        <f>G26+H26-C26-E26</f>
        <v>0</v>
      </c>
      <c r="J26" s="18">
        <f>C26-G26</f>
        <v>-1966</v>
      </c>
      <c r="K26" s="24"/>
    </row>
    <row r="27" ht="20.05" customHeight="1">
      <c r="B27" s="35"/>
      <c r="C27" s="23">
        <v>601</v>
      </c>
      <c r="D27" s="18">
        <v>3557</v>
      </c>
      <c r="E27" s="18">
        <f>D27-C27</f>
        <v>2956</v>
      </c>
      <c r="F27" s="18">
        <f>244+1024</f>
        <v>1268</v>
      </c>
      <c r="G27" s="18">
        <v>2638</v>
      </c>
      <c r="H27" s="18">
        <v>919</v>
      </c>
      <c r="I27" s="18">
        <f>G27+H27-C27-E27</f>
        <v>0</v>
      </c>
      <c r="J27" s="18">
        <f>C27-G27</f>
        <v>-2037</v>
      </c>
      <c r="K27" s="24"/>
    </row>
    <row r="28" ht="20.05" customHeight="1">
      <c r="B28" s="36">
        <v>2022</v>
      </c>
      <c r="C28" s="23">
        <v>397</v>
      </c>
      <c r="D28" s="18">
        <v>3494</v>
      </c>
      <c r="E28" s="18">
        <f>D28-C28</f>
        <v>3097</v>
      </c>
      <c r="F28" s="18">
        <f>1054+272</f>
        <v>1326</v>
      </c>
      <c r="G28" s="18">
        <v>2580</v>
      </c>
      <c r="H28" s="18">
        <v>914</v>
      </c>
      <c r="I28" s="18">
        <f>G28+H28-C28-E28</f>
        <v>0</v>
      </c>
      <c r="J28" s="18">
        <f>C28-G28</f>
        <v>-2183</v>
      </c>
      <c r="K28" s="18">
        <v>-1812.100952976660</v>
      </c>
    </row>
    <row r="29" ht="20.05" customHeight="1">
      <c r="B29" s="35"/>
      <c r="C29" s="23"/>
      <c r="D29" s="18"/>
      <c r="E29" s="18">
        <f>D29-C29</f>
        <v>0</v>
      </c>
      <c r="F29" s="18"/>
      <c r="G29" s="18"/>
      <c r="H29" s="18"/>
      <c r="I29" s="18"/>
      <c r="J29" s="18"/>
      <c r="K29" s="18">
        <f>'Model'!F32</f>
        <v>-1998.530747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24219" style="41" customWidth="1"/>
    <col min="2" max="2" width="7.60938" style="41" customWidth="1"/>
    <col min="3" max="4" width="8.85156" style="41" customWidth="1"/>
    <col min="5" max="16384" width="16.3516" style="41" customWidth="1"/>
  </cols>
  <sheetData>
    <row r="1" ht="40.5" customHeight="1"/>
    <row r="2" ht="27.65" customHeight="1">
      <c r="B2" t="s" s="2">
        <v>59</v>
      </c>
      <c r="C2" s="2"/>
      <c r="D2" s="2"/>
    </row>
    <row r="3" ht="20.05" customHeight="1">
      <c r="B3" s="42"/>
      <c r="C3" t="s" s="43">
        <v>60</v>
      </c>
      <c r="D3" t="s" s="44">
        <v>61</v>
      </c>
    </row>
    <row r="4" ht="20.05" customHeight="1">
      <c r="B4" s="45">
        <v>2018</v>
      </c>
      <c r="C4" s="46">
        <v>715</v>
      </c>
      <c r="D4" s="47"/>
    </row>
    <row r="5" ht="20.05" customHeight="1">
      <c r="B5" s="48"/>
      <c r="C5" s="46">
        <v>748</v>
      </c>
      <c r="D5" s="47"/>
    </row>
    <row r="6" ht="20.05" customHeight="1">
      <c r="B6" s="48"/>
      <c r="C6" s="46">
        <v>895</v>
      </c>
      <c r="D6" s="47"/>
    </row>
    <row r="7" ht="20.05" customHeight="1">
      <c r="B7" s="48"/>
      <c r="C7" s="46">
        <v>835</v>
      </c>
      <c r="D7" s="47"/>
    </row>
    <row r="8" ht="20.05" customHeight="1">
      <c r="B8" s="49">
        <v>2019</v>
      </c>
      <c r="C8" s="46">
        <v>940</v>
      </c>
      <c r="D8" s="47"/>
    </row>
    <row r="9" ht="20.05" customHeight="1">
      <c r="B9" s="48"/>
      <c r="C9" s="50">
        <v>1225</v>
      </c>
      <c r="D9" s="47"/>
    </row>
    <row r="10" ht="20.05" customHeight="1">
      <c r="B10" s="48"/>
      <c r="C10" s="50">
        <v>1400</v>
      </c>
      <c r="D10" s="47"/>
    </row>
    <row r="11" ht="20.05" customHeight="1">
      <c r="B11" s="48"/>
      <c r="C11" s="50">
        <v>1275</v>
      </c>
      <c r="D11" s="47"/>
    </row>
    <row r="12" ht="20.05" customHeight="1">
      <c r="B12" s="49">
        <v>2020</v>
      </c>
      <c r="C12" s="46">
        <v>930</v>
      </c>
      <c r="D12" s="51"/>
    </row>
    <row r="13" ht="20.05" customHeight="1">
      <c r="B13" s="48"/>
      <c r="C13" s="46">
        <v>935</v>
      </c>
      <c r="D13" s="51"/>
    </row>
    <row r="14" ht="20.05" customHeight="1">
      <c r="B14" s="52"/>
      <c r="C14" s="53">
        <v>910</v>
      </c>
      <c r="D14" s="54"/>
    </row>
    <row r="15" ht="20.05" customHeight="1">
      <c r="B15" s="55"/>
      <c r="C15" s="53">
        <v>1020</v>
      </c>
      <c r="D15" s="25"/>
    </row>
    <row r="16" ht="20.05" customHeight="1">
      <c r="B16" s="56">
        <v>2021</v>
      </c>
      <c r="C16" s="57">
        <v>1025</v>
      </c>
      <c r="D16" s="25"/>
    </row>
    <row r="17" ht="20.05" customHeight="1">
      <c r="B17" s="55"/>
      <c r="C17" s="57">
        <v>1000</v>
      </c>
      <c r="D17" s="25"/>
    </row>
    <row r="18" ht="20.05" customHeight="1">
      <c r="B18" s="55"/>
      <c r="C18" s="57">
        <v>980</v>
      </c>
      <c r="D18" s="25"/>
    </row>
    <row r="19" ht="20.05" customHeight="1">
      <c r="B19" s="55"/>
      <c r="C19" s="57">
        <v>975</v>
      </c>
      <c r="D19" s="25"/>
    </row>
    <row r="20" ht="20.05" customHeight="1">
      <c r="B20" s="56">
        <v>2022</v>
      </c>
      <c r="C20" s="57">
        <v>960</v>
      </c>
      <c r="D20" s="24">
        <v>689.478913399525</v>
      </c>
    </row>
    <row r="21" ht="20.05" customHeight="1">
      <c r="B21" s="55"/>
      <c r="C21" s="57">
        <v>940</v>
      </c>
      <c r="D21" s="24">
        <v>661.336916934239</v>
      </c>
    </row>
    <row r="22" ht="20.05" customHeight="1">
      <c r="B22" s="55"/>
      <c r="C22" s="57"/>
      <c r="D22" s="24">
        <f>'Model'!F45</f>
        <v>881.956900012774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