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<sst xmlns="http://schemas.openxmlformats.org/spreadsheetml/2006/main" uniqueCount="92">
  <si>
    <t>Financial model</t>
  </si>
  <si>
    <t>Rpbn</t>
  </si>
  <si>
    <t>4Q 2022</t>
  </si>
  <si>
    <t xml:space="preserve">Cashflow </t>
  </si>
  <si>
    <t xml:space="preserve">Sales growth </t>
  </si>
  <si>
    <t>Sales</t>
  </si>
  <si>
    <t xml:space="preserve">Cost ratio </t>
  </si>
  <si>
    <t>Cash costs</t>
  </si>
  <si>
    <t xml:space="preserve">Operating </t>
  </si>
  <si>
    <t>Investment</t>
  </si>
  <si>
    <t>Leasea</t>
  </si>
  <si>
    <t xml:space="preserve">Finance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</si>
  <si>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</si>
  <si>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</si>
  <si>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</si>
  <si>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</si>
  <si>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</si>
  <si>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</si>
  <si>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</si>
  <si>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</si>
  <si>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</si>
  <si>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</si>
  <si>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</si>
  <si>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</si>
  <si>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</si>
  <si>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</si>
  <si>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</si>
  <si>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</si>
  <si>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</si>
  <si>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</si>
  <si>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</si>
  <si>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</si>
  <si>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</si>
  <si>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</si>
  <si>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</si>
  <si>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</si>
  <si>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</si>
  <si>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</si>
  <si>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</si>
  <si>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</si>
  <si>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</si>
  <si>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</si>
  <si>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</si>
  <si>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</si>
  <si>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Rp bn</t>
  </si>
  <si>
    <t>Sales growth</t>
  </si>
  <si>
    <t>Cost ratio</t>
  </si>
  <si>
    <t>Receipts</t>
  </si>
  <si>
    <t xml:space="preserve">Investment </t>
  </si>
  <si>
    <t xml:space="preserve">Interest </t>
  </si>
  <si>
    <t>Leases</t>
  </si>
  <si>
    <t>Finance</t>
  </si>
  <si>
    <t xml:space="preserve">Free cashflow </t>
  </si>
  <si>
    <t>Balance sheet</t>
  </si>
  <si>
    <t xml:space="preserve">  Cash</t>
  </si>
  <si>
    <t>Assets</t>
  </si>
  <si>
    <t>Other assets</t>
  </si>
  <si>
    <t xml:space="preserve">Check </t>
  </si>
  <si>
    <t>Net cash</t>
  </si>
  <si>
    <t>Share price</t>
  </si>
  <si>
    <t>EXCL</t>
  </si>
  <si>
    <t xml:space="preserve">Previous </t>
  </si>
  <si>
    <t>Capital</t>
  </si>
  <si>
    <t>Total</t>
  </si>
  <si>
    <t>Table 1</t>
  </si>
  <si>
    <t xml:space="preserve">capital history </t>
  </si>
  <si>
    <t xml:space="preserve">Start date </t>
  </si>
  <si>
    <t xml:space="preserve">Number of quarters 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</si>
  <si>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</si>
  <si>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</si>
  <si>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</si>
  <si>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</si>
  <si>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</si>
  <si>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</si>
  <si>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</si>
  <si>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</si>
  <si>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>paid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</si>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</sst>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mmmm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horizontal="right" vertical="center"/>
    </xf>
    <xf numFmtId="38" fontId="0" borderId="7" applyNumberFormat="1" applyFont="1" applyFill="0" applyBorder="1" applyAlignment="1" applyProtection="0">
      <alignment horizontal="right" vertical="center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60" fontId="0" borderId="6" applyNumberFormat="1" applyFont="1" applyFill="0" applyBorder="1" applyAlignment="1" applyProtection="0">
      <alignment horizontal="right" vertical="center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right" vertical="center"/>
    </xf>
    <xf numFmtId="59" fontId="0" borderId="7" applyNumberFormat="1" applyFont="1" applyFill="0" applyBorder="1" applyAlignment="1" applyProtection="0">
      <alignment horizontal="right" vertical="center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" fontId="0" fillId="5" borderId="6" applyNumberFormat="1" applyFont="1" applyFill="1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horizontal="right"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3" fontId="0" borderId="4" applyNumberFormat="1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  <rgbColor rgb="ffb8b8b8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1552"/>
          <c:y val="0.0446026"/>
          <c:w val="0.839871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'Capital'!$E$3:$E$20</c:f>
              <c:numCache>
                <c:ptCount val="18"/>
                <c:pt idx="0">
                  <c:v>429.000000</c:v>
                </c:pt>
                <c:pt idx="1">
                  <c:v>-208.000000</c:v>
                </c:pt>
                <c:pt idx="2">
                  <c:v>1545.000000</c:v>
                </c:pt>
                <c:pt idx="3">
                  <c:v>5549.000000</c:v>
                </c:pt>
                <c:pt idx="4">
                  <c:v>14113.000000</c:v>
                </c:pt>
                <c:pt idx="5">
                  <c:v>9613.000000</c:v>
                </c:pt>
                <c:pt idx="6">
                  <c:v>6384.000000</c:v>
                </c:pt>
                <c:pt idx="7">
                  <c:v>6806.000000</c:v>
                </c:pt>
                <c:pt idx="8">
                  <c:v>9410.000000</c:v>
                </c:pt>
                <c:pt idx="9">
                  <c:v>12746.000000</c:v>
                </c:pt>
                <c:pt idx="10">
                  <c:v>23517.000000</c:v>
                </c:pt>
                <c:pt idx="11">
                  <c:v>18229.000000</c:v>
                </c:pt>
                <c:pt idx="12">
                  <c:v>11010.000000</c:v>
                </c:pt>
                <c:pt idx="13">
                  <c:v>11038.000000</c:v>
                </c:pt>
                <c:pt idx="14">
                  <c:v>8689.000000</c:v>
                </c:pt>
                <c:pt idx="15">
                  <c:v>8927.000000</c:v>
                </c:pt>
                <c:pt idx="16">
                  <c:v>5458.000000</c:v>
                </c:pt>
                <c:pt idx="17">
                  <c:v>6376.700000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'Capital'!$F$3:$F$20</c:f>
              <c:numCache>
                <c:ptCount val="18"/>
                <c:pt idx="0">
                  <c:v>0.000000</c:v>
                </c:pt>
                <c:pt idx="1">
                  <c:v>2823.000000</c:v>
                </c:pt>
                <c:pt idx="2">
                  <c:v>2823.000000</c:v>
                </c:pt>
                <c:pt idx="3">
                  <c:v>2756.000000</c:v>
                </c:pt>
                <c:pt idx="4">
                  <c:v>2614.000000</c:v>
                </c:pt>
                <c:pt idx="5">
                  <c:v>5400.000000</c:v>
                </c:pt>
                <c:pt idx="6">
                  <c:v>5400.000000</c:v>
                </c:pt>
                <c:pt idx="7">
                  <c:v>4488.000000</c:v>
                </c:pt>
                <c:pt idx="8">
                  <c:v>3381.000000</c:v>
                </c:pt>
                <c:pt idx="9">
                  <c:v>2229.000000</c:v>
                </c:pt>
                <c:pt idx="10">
                  <c:v>1784.000000</c:v>
                </c:pt>
                <c:pt idx="11">
                  <c:v>1784.000000</c:v>
                </c:pt>
                <c:pt idx="12">
                  <c:v>4049.000000</c:v>
                </c:pt>
                <c:pt idx="13">
                  <c:v>4049.000000</c:v>
                </c:pt>
                <c:pt idx="14">
                  <c:v>4049.000000</c:v>
                </c:pt>
                <c:pt idx="15">
                  <c:v>4049.000000</c:v>
                </c:pt>
                <c:pt idx="16">
                  <c:v>3701.000000</c:v>
                </c:pt>
                <c:pt idx="17">
                  <c:v>3362.800000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'Capital'!$G$3:$G$20</c:f>
              <c:numCache>
                <c:ptCount val="18"/>
                <c:pt idx="0">
                  <c:v>429.000000</c:v>
                </c:pt>
                <c:pt idx="1">
                  <c:v>2615.000000</c:v>
                </c:pt>
                <c:pt idx="2">
                  <c:v>4368.000000</c:v>
                </c:pt>
                <c:pt idx="3">
                  <c:v>8305.000000</c:v>
                </c:pt>
                <c:pt idx="4">
                  <c:v>16727.000000</c:v>
                </c:pt>
                <c:pt idx="5">
                  <c:v>15013.000000</c:v>
                </c:pt>
                <c:pt idx="6">
                  <c:v>11784.000000</c:v>
                </c:pt>
                <c:pt idx="7">
                  <c:v>11294.000000</c:v>
                </c:pt>
                <c:pt idx="8">
                  <c:v>12791.000000</c:v>
                </c:pt>
                <c:pt idx="9">
                  <c:v>14975.000000</c:v>
                </c:pt>
                <c:pt idx="10">
                  <c:v>25301.000000</c:v>
                </c:pt>
                <c:pt idx="11">
                  <c:v>20013.000000</c:v>
                </c:pt>
                <c:pt idx="12">
                  <c:v>15059.000000</c:v>
                </c:pt>
                <c:pt idx="13">
                  <c:v>15087.000000</c:v>
                </c:pt>
                <c:pt idx="14">
                  <c:v>12738.000000</c:v>
                </c:pt>
                <c:pt idx="15">
                  <c:v>12976.000000</c:v>
                </c:pt>
                <c:pt idx="16">
                  <c:v>9159.000000</c:v>
                </c:pt>
                <c:pt idx="17">
                  <c:v>9739.500000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9375"/>
        <c:minorUnit val="4687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25576"/>
          <c:y val="0.0581516"/>
          <c:w val="0.380706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559978</xdr:colOff>
      <xdr:row>0</xdr:row>
      <xdr:rowOff>331793</xdr:rowOff>
    </xdr:from>
    <xdr:to>
      <xdr:col>13</xdr:col>
      <xdr:colOff>559646</xdr:colOff>
      <xdr:row>48</xdr:row>
      <xdr:rowOff>199719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08178" y="331793"/>
          <a:ext cx="8711869" cy="121920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722095</xdr:colOff>
      <xdr:row>26</xdr:row>
      <xdr:rowOff>345023</xdr:rowOff>
    </xdr:from>
    <xdr:to>
      <xdr:col>4</xdr:col>
      <xdr:colOff>719619</xdr:colOff>
      <xdr:row>35</xdr:row>
      <xdr:rowOff>171223</xdr:rowOff>
    </xdr:to>
    <xdr:graphicFrame>
      <xdr:nvGraphicFramePr>
        <xdr:cNvPr id="4" name="2D Line Chart"/>
        <xdr:cNvGraphicFramePr/>
      </xdr:nvGraphicFramePr>
      <xdr:xfrm>
        <a:off x="722095" y="7319228"/>
        <a:ext cx="3553525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674552</xdr:colOff>
      <xdr:row>23</xdr:row>
      <xdr:rowOff>388723</xdr:rowOff>
    </xdr:from>
    <xdr:to>
      <xdr:col>5</xdr:col>
      <xdr:colOff>157625</xdr:colOff>
      <xdr:row>27</xdr:row>
      <xdr:rowOff>45395</xdr:rowOff>
    </xdr:to>
    <xdr:sp>
      <xdr:nvSpPr>
        <xdr:cNvPr id="5" name="EXCL 9.7 TRILLION RUPIAH STILL TO PAY"/>
        <xdr:cNvSpPr txBox="1"/>
      </xdr:nvSpPr>
      <xdr:spPr>
        <a:xfrm>
          <a:off x="674552" y="6444083"/>
          <a:ext cx="3928074" cy="9825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EXCL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9.7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STILL TO PAY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48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6.15625" style="1" customWidth="1"/>
    <col min="2" max="2" width="14.7656" style="1" customWidth="1"/>
    <col min="3" max="6" width="9.92188" style="1" customWidth="1"/>
    <col min="7" max="16384" width="16.3516" style="1" customWidth="1"/>
  </cols>
  <sheetData>
    <row r="1" ht="27.65" customHeight="1">
      <c r="B1" t="s" s="2">
        <v>0</v>
      </c>
      <c r="C1" s="2"/>
      <c r="D1" s="2"/>
      <c r="E1" s="2"/>
      <c r="F1" s="2"/>
    </row>
    <row r="2" ht="20.25" customHeight="1">
      <c r="B2" t="s" s="3">
        <v>1</v>
      </c>
      <c r="C2" s="4"/>
      <c r="D2" s="4"/>
      <c r="E2" t="s" s="5">
        <v>2</v>
      </c>
      <c r="F2" s="4"/>
    </row>
    <row r="3" ht="20.25" customHeight="1">
      <c r="B3" t="s" s="6">
        <v>3</v>
      </c>
      <c r="C3" s="7">
        <f>AVERAGE('Sales'!G29:G32)</f>
        <v>0.0199549767677741</v>
      </c>
      <c r="D3" s="8"/>
      <c r="E3" s="8"/>
      <c r="F3" s="9">
        <f>AVERAGE(C4:F4)</f>
        <v>0.02</v>
      </c>
    </row>
    <row r="4" ht="20.05" customHeight="1">
      <c r="B4" t="s" s="10">
        <v>4</v>
      </c>
      <c r="C4" s="11">
        <v>0.03</v>
      </c>
      <c r="D4" s="12">
        <v>0.04</v>
      </c>
      <c r="E4" s="12">
        <v>0.02</v>
      </c>
      <c r="F4" s="12">
        <v>-0.01</v>
      </c>
    </row>
    <row r="5" ht="20.05" customHeight="1">
      <c r="B5" t="s" s="10">
        <v>5</v>
      </c>
      <c r="C5" s="13">
        <f>'Sales'!C32*(1+C4)</f>
        <v>6944.26</v>
      </c>
      <c r="D5" s="14">
        <f>C5*(1+D4)</f>
        <v>7222.0304</v>
      </c>
      <c r="E5" s="14">
        <f>D5*(1+E4)</f>
        <v>7366.471008</v>
      </c>
      <c r="F5" s="14">
        <f>E5*(1+F4)</f>
        <v>7292.80629792</v>
      </c>
    </row>
    <row r="6" ht="20.05" customHeight="1">
      <c r="B6" t="s" s="10">
        <v>6</v>
      </c>
      <c r="C6" s="15">
        <f>AVERAGE('Sales'!I32)</f>
        <v>-0.588688299745176</v>
      </c>
      <c r="D6" s="16">
        <f>C6</f>
        <v>-0.588688299745176</v>
      </c>
      <c r="E6" s="16">
        <f>D6</f>
        <v>-0.588688299745176</v>
      </c>
      <c r="F6" s="16">
        <f>E6</f>
        <v>-0.588688299745176</v>
      </c>
    </row>
    <row r="7" ht="20.05" customHeight="1">
      <c r="B7" t="s" s="10">
        <v>7</v>
      </c>
      <c r="C7" s="17">
        <f>C5*C6</f>
        <v>-4088.004612388440</v>
      </c>
      <c r="D7" s="18">
        <f>D5*D6</f>
        <v>-4251.524796883970</v>
      </c>
      <c r="E7" s="18">
        <f>E5*E6</f>
        <v>-4336.555292821650</v>
      </c>
      <c r="F7" s="18">
        <f>F5*F6</f>
        <v>-4293.189739893440</v>
      </c>
    </row>
    <row r="8" ht="20.05" customHeight="1">
      <c r="B8" t="s" s="10">
        <v>8</v>
      </c>
      <c r="C8" s="17">
        <f>C5+C7</f>
        <v>2856.255387611560</v>
      </c>
      <c r="D8" s="18">
        <f>D5+D7</f>
        <v>2970.505603116030</v>
      </c>
      <c r="E8" s="18">
        <f>E5+E7</f>
        <v>3029.915715178350</v>
      </c>
      <c r="F8" s="18">
        <f>F5+F7</f>
        <v>2999.616558026560</v>
      </c>
    </row>
    <row r="9" ht="20.05" customHeight="1">
      <c r="B9" t="s" s="10">
        <v>9</v>
      </c>
      <c r="C9" s="17">
        <f>AVERAGE('Cashflow'!E31)</f>
        <v>-1556</v>
      </c>
      <c r="D9" s="18">
        <f>C9</f>
        <v>-1556</v>
      </c>
      <c r="E9" s="18">
        <f>D9</f>
        <v>-1556</v>
      </c>
      <c r="F9" s="18">
        <f>E9</f>
        <v>-1556</v>
      </c>
    </row>
    <row r="10" ht="20.05" customHeight="1">
      <c r="B10" t="s" s="10">
        <v>10</v>
      </c>
      <c r="C10" s="17">
        <f>AVERAGE('Cashflow'!G31)</f>
        <v>-833.9</v>
      </c>
      <c r="D10" s="18">
        <f>C10</f>
        <v>-833.9</v>
      </c>
      <c r="E10" s="18">
        <f>D10</f>
        <v>-833.9</v>
      </c>
      <c r="F10" s="18">
        <f>E10</f>
        <v>-833.9</v>
      </c>
    </row>
    <row r="11" ht="20.05" customHeight="1">
      <c r="B11" t="s" s="10">
        <v>11</v>
      </c>
      <c r="C11" s="17">
        <f>C12+C15+C13</f>
        <v>-1300.255387611560</v>
      </c>
      <c r="D11" s="18">
        <f>D12+D15+D13</f>
        <v>-1414.505603116030</v>
      </c>
      <c r="E11" s="18">
        <f>E12+E15+E13</f>
        <v>-1473.915715178350</v>
      </c>
      <c r="F11" s="18">
        <f>F12+F15+F13</f>
        <v>-1443.616558026560</v>
      </c>
    </row>
    <row r="12" ht="20.05" customHeight="1">
      <c r="B12" t="s" s="10">
        <v>12</v>
      </c>
      <c r="C12" s="17">
        <f>-'Balance Sheet '!G32/20</f>
        <v>-2580.15</v>
      </c>
      <c r="D12" s="18">
        <f>-C27/24</f>
        <v>-2042.61875</v>
      </c>
      <c r="E12" s="18">
        <f>-D27/24</f>
        <v>-1957.509635416670</v>
      </c>
      <c r="F12" s="18">
        <f>-E27/24</f>
        <v>-1875.946733940970</v>
      </c>
    </row>
    <row r="13" ht="20.05" customHeight="1">
      <c r="B13" t="s" s="10">
        <v>13</v>
      </c>
      <c r="C13" s="17">
        <f>-MIN(0,C16)</f>
        <v>1368.471228671910</v>
      </c>
      <c r="D13" s="18">
        <f>-MIN(C28,D16)</f>
        <v>750.964827818779</v>
      </c>
      <c r="E13" s="18">
        <f>-MIN(D28,E16)</f>
        <v>624.268634791825</v>
      </c>
      <c r="F13" s="18">
        <f>-MIN(E28,F16)</f>
        <v>563.915143322378</v>
      </c>
    </row>
    <row r="14" ht="20.05" customHeight="1">
      <c r="B14" t="s" s="10">
        <v>14</v>
      </c>
      <c r="C14" s="19">
        <v>0.3</v>
      </c>
      <c r="D14" s="18"/>
      <c r="E14" s="18"/>
      <c r="F14" s="18"/>
    </row>
    <row r="15" ht="20.05" customHeight="1">
      <c r="B15" t="s" s="10">
        <v>15</v>
      </c>
      <c r="C15" s="17">
        <f>IF(C22&gt;0,-C22*$C$14,0)</f>
        <v>-88.576616283468</v>
      </c>
      <c r="D15" s="18">
        <f>IF(D22&gt;0,-D22*$C$14,0)</f>
        <v>-122.851680934809</v>
      </c>
      <c r="E15" s="18">
        <f>IF(E22&gt;0,-E22*$C$14,0)</f>
        <v>-140.674714553505</v>
      </c>
      <c r="F15" s="18">
        <f>IF(F22&gt;0,-F22*$C$14,0)</f>
        <v>-131.584967407968</v>
      </c>
    </row>
    <row r="16" ht="20.05" customHeight="1">
      <c r="B16" t="s" s="10">
        <v>16</v>
      </c>
      <c r="C16" s="17">
        <f>C8+C9+C12+C15</f>
        <v>-1368.471228671910</v>
      </c>
      <c r="D16" s="18">
        <f>D8+D9+D12+D15</f>
        <v>-750.964827818779</v>
      </c>
      <c r="E16" s="18">
        <f>E8+E9+E12+E15</f>
        <v>-624.268634791825</v>
      </c>
      <c r="F16" s="18">
        <f>F8+F9+F12+F15</f>
        <v>-563.915143322378</v>
      </c>
    </row>
    <row r="17" ht="20.05" customHeight="1">
      <c r="B17" t="s" s="10">
        <v>17</v>
      </c>
      <c r="C17" s="17">
        <f>'Balance Sheet '!C32</f>
        <v>1413.9</v>
      </c>
      <c r="D17" s="18">
        <f>C19</f>
        <v>1413.9</v>
      </c>
      <c r="E17" s="18">
        <f>D19</f>
        <v>1413.9</v>
      </c>
      <c r="F17" s="18">
        <f>E19</f>
        <v>1413.9</v>
      </c>
    </row>
    <row r="18" ht="20.05" customHeight="1">
      <c r="B18" t="s" s="10">
        <v>18</v>
      </c>
      <c r="C18" s="17">
        <f>C8+C9+C11</f>
        <v>0</v>
      </c>
      <c r="D18" s="18">
        <f>D8+D9+D11</f>
        <v>0</v>
      </c>
      <c r="E18" s="18">
        <f>E8+E9+E11</f>
        <v>0</v>
      </c>
      <c r="F18" s="18">
        <f>F8+F9+F11</f>
        <v>0</v>
      </c>
    </row>
    <row r="19" ht="20.05" customHeight="1">
      <c r="B19" t="s" s="10">
        <v>19</v>
      </c>
      <c r="C19" s="17">
        <f>C17+C18</f>
        <v>1413.9</v>
      </c>
      <c r="D19" s="18">
        <f>D17+D18</f>
        <v>1413.9</v>
      </c>
      <c r="E19" s="18">
        <f>E17+E18</f>
        <v>1413.9</v>
      </c>
      <c r="F19" s="18">
        <f>F17+F18</f>
        <v>1413.9</v>
      </c>
    </row>
    <row r="20" ht="20.05" customHeight="1">
      <c r="B20" t="s" s="20">
        <v>20</v>
      </c>
      <c r="C20" s="21"/>
      <c r="D20" s="22"/>
      <c r="E20" s="22"/>
      <c r="F20" s="23"/>
    </row>
    <row r="21" ht="20.05" customHeight="1">
      <c r="B21" t="s" s="10">
        <v>21</v>
      </c>
      <c r="C21" s="17">
        <f>-AVERAGE('Sales'!E32)</f>
        <v>-2561</v>
      </c>
      <c r="D21" s="18">
        <f>C21</f>
        <v>-2561</v>
      </c>
      <c r="E21" s="18">
        <f>D21</f>
        <v>-2561</v>
      </c>
      <c r="F21" s="18">
        <f>E21</f>
        <v>-2561</v>
      </c>
    </row>
    <row r="22" ht="20.05" customHeight="1">
      <c r="B22" t="s" s="10">
        <v>22</v>
      </c>
      <c r="C22" s="17">
        <f>C5+C7+C21</f>
        <v>295.255387611560</v>
      </c>
      <c r="D22" s="18">
        <f>D5+D7+D21</f>
        <v>409.505603116030</v>
      </c>
      <c r="E22" s="18">
        <f>E5+E7+E21</f>
        <v>468.915715178350</v>
      </c>
      <c r="F22" s="18">
        <f>F5+F7+F21</f>
        <v>438.616558026560</v>
      </c>
    </row>
    <row r="23" ht="20.05" customHeight="1">
      <c r="B23" t="s" s="20">
        <v>23</v>
      </c>
      <c r="C23" s="21"/>
      <c r="D23" s="22"/>
      <c r="E23" s="22"/>
      <c r="F23" s="24"/>
    </row>
    <row r="24" ht="20.05" customHeight="1">
      <c r="B24" t="s" s="10">
        <v>24</v>
      </c>
      <c r="C24" s="17">
        <f>'Balance Sheet '!F32+'Balance Sheet '!E32-C9</f>
        <v>168497.5</v>
      </c>
      <c r="D24" s="18">
        <f>C24-D9</f>
        <v>170053.5</v>
      </c>
      <c r="E24" s="18">
        <f>D24-E9</f>
        <v>171609.5</v>
      </c>
      <c r="F24" s="18">
        <f>E24-F9</f>
        <v>173165.5</v>
      </c>
    </row>
    <row r="25" ht="20.05" customHeight="1">
      <c r="B25" t="s" s="10">
        <v>25</v>
      </c>
      <c r="C25" s="17">
        <f>'Balance Sheet '!F32-C21</f>
        <v>99075.399999999994</v>
      </c>
      <c r="D25" s="18">
        <f>C25-D21</f>
        <v>101636.4</v>
      </c>
      <c r="E25" s="18">
        <f>D25-E21</f>
        <v>104197.4</v>
      </c>
      <c r="F25" s="18">
        <f>E25-F21</f>
        <v>106758.4</v>
      </c>
    </row>
    <row r="26" ht="20.05" customHeight="1">
      <c r="B26" t="s" s="10">
        <v>26</v>
      </c>
      <c r="C26" s="17">
        <f>C24-C25</f>
        <v>69422.100000000006</v>
      </c>
      <c r="D26" s="18">
        <f>D24-D25</f>
        <v>68417.100000000006</v>
      </c>
      <c r="E26" s="18">
        <f>E24-E25</f>
        <v>67412.100000000006</v>
      </c>
      <c r="F26" s="18">
        <f>F24-F25</f>
        <v>66407.100000000006</v>
      </c>
    </row>
    <row r="27" ht="20.05" customHeight="1">
      <c r="B27" t="s" s="10">
        <v>12</v>
      </c>
      <c r="C27" s="17">
        <f>'Balance Sheet '!G32+C12</f>
        <v>49022.85</v>
      </c>
      <c r="D27" s="18">
        <f>C27+D12</f>
        <v>46980.23125</v>
      </c>
      <c r="E27" s="18">
        <f>D27+E12</f>
        <v>45022.7216145833</v>
      </c>
      <c r="F27" s="18">
        <f>E27+F12</f>
        <v>43146.7748806423</v>
      </c>
    </row>
    <row r="28" ht="20.05" customHeight="1">
      <c r="B28" t="s" s="10">
        <v>13</v>
      </c>
      <c r="C28" s="17">
        <f>C13</f>
        <v>1368.471228671910</v>
      </c>
      <c r="D28" s="18">
        <f>C28+D13</f>
        <v>2119.436056490690</v>
      </c>
      <c r="E28" s="18">
        <f>D28+E13</f>
        <v>2743.704691282520</v>
      </c>
      <c r="F28" s="18">
        <f>E28+F13</f>
        <v>3307.6198346049</v>
      </c>
    </row>
    <row r="29" ht="20.05" customHeight="1">
      <c r="B29" t="s" s="10">
        <v>15</v>
      </c>
      <c r="C29" s="17">
        <f>'Balance Sheet '!H32+C22+C15</f>
        <v>20444.6787713281</v>
      </c>
      <c r="D29" s="18">
        <f>C29+D22+D15</f>
        <v>20731.3326935093</v>
      </c>
      <c r="E29" s="18">
        <f>D29+E22+E15</f>
        <v>21059.5736941341</v>
      </c>
      <c r="F29" s="18">
        <f>E29+F22+F15</f>
        <v>21366.6052847527</v>
      </c>
    </row>
    <row r="30" ht="20.05" customHeight="1">
      <c r="B30" t="s" s="10">
        <v>27</v>
      </c>
      <c r="C30" s="17">
        <f>C27+C28+C29-C19-C26</f>
        <v>9.999999999999999e-12</v>
      </c>
      <c r="D30" s="18">
        <f>D27+D28+D29-D19-D26</f>
        <v>-9.999999999999999e-12</v>
      </c>
      <c r="E30" s="18">
        <f>E27+E28+E29-E19-E26</f>
        <v>-8e-11</v>
      </c>
      <c r="F30" s="18">
        <f>F27+F28+F29-F19-F26</f>
        <v>-1e-10</v>
      </c>
    </row>
    <row r="31" ht="20.05" customHeight="1">
      <c r="B31" t="s" s="10">
        <v>28</v>
      </c>
      <c r="C31" s="17">
        <f>C19-C27-C28</f>
        <v>-48977.4212286719</v>
      </c>
      <c r="D31" s="18">
        <f>D19-D27-D28</f>
        <v>-47685.7673064907</v>
      </c>
      <c r="E31" s="18">
        <f>E19-E27-E28</f>
        <v>-46352.5263058658</v>
      </c>
      <c r="F31" s="18">
        <f>F19-F27-F28</f>
        <v>-45040.4947152472</v>
      </c>
    </row>
    <row r="32" ht="20.05" customHeight="1">
      <c r="B32" t="s" s="20">
        <v>29</v>
      </c>
      <c r="C32" s="17"/>
      <c r="D32" s="18"/>
      <c r="E32" s="18"/>
      <c r="F32" s="18"/>
    </row>
    <row r="33" ht="20.05" customHeight="1">
      <c r="B33" t="s" s="10">
        <v>30</v>
      </c>
      <c r="C33" s="17">
        <f>'Cashflow'!N32-(C11-C10)</f>
        <v>12574.5553876116</v>
      </c>
      <c r="D33" s="18">
        <f>C33-(D11-D10)</f>
        <v>13155.1609907276</v>
      </c>
      <c r="E33" s="18">
        <f>D33-(E11-E10)</f>
        <v>13795.176705906</v>
      </c>
      <c r="F33" s="18">
        <f>E33-(F11-F10)</f>
        <v>14404.8932639326</v>
      </c>
    </row>
    <row r="34" ht="20.05" customHeight="1">
      <c r="B34" t="s" s="10">
        <v>31</v>
      </c>
      <c r="C34" s="17"/>
      <c r="D34" s="18"/>
      <c r="E34" s="18"/>
      <c r="F34" s="18">
        <v>32431327805440</v>
      </c>
    </row>
    <row r="35" ht="20.05" customHeight="1">
      <c r="B35" t="s" s="10">
        <v>31</v>
      </c>
      <c r="C35" s="17"/>
      <c r="D35" s="18"/>
      <c r="E35" s="18"/>
      <c r="F35" s="18">
        <f>F34/1000000000</f>
        <v>32431.32780544</v>
      </c>
    </row>
    <row r="36" ht="20.05" customHeight="1">
      <c r="B36" t="s" s="10">
        <v>32</v>
      </c>
      <c r="C36" s="17"/>
      <c r="D36" s="18"/>
      <c r="E36" s="18"/>
      <c r="F36" s="25">
        <f>F35/(F19+F26)</f>
        <v>0.478190056257501</v>
      </c>
    </row>
    <row r="37" ht="20.05" customHeight="1">
      <c r="B37" t="s" s="10">
        <v>33</v>
      </c>
      <c r="C37" s="17"/>
      <c r="D37" s="18"/>
      <c r="E37" s="18"/>
      <c r="F37" s="26">
        <f>-(C15+D15+E15+F15)/F35</f>
        <v>0.0149142206597726</v>
      </c>
    </row>
    <row r="38" ht="20.05" customHeight="1">
      <c r="B38" t="s" s="10">
        <v>34</v>
      </c>
      <c r="C38" s="17"/>
      <c r="D38" s="18"/>
      <c r="E38" s="18"/>
      <c r="F38" s="18">
        <f>SUM(C8:F10)</f>
        <v>2296.6932639325</v>
      </c>
    </row>
    <row r="39" ht="20.05" customHeight="1">
      <c r="B39" t="s" s="10">
        <v>35</v>
      </c>
      <c r="C39" s="17"/>
      <c r="D39" s="18"/>
      <c r="E39" s="18"/>
      <c r="F39" s="18">
        <f>'Balance Sheet '!E32/F38</f>
        <v>30.664565053590</v>
      </c>
    </row>
    <row r="40" ht="20.05" customHeight="1">
      <c r="B40" t="s" s="10">
        <v>29</v>
      </c>
      <c r="C40" s="17"/>
      <c r="D40" s="18"/>
      <c r="E40" s="18"/>
      <c r="F40" s="18">
        <f>F35/F38</f>
        <v>14.1208790545715</v>
      </c>
    </row>
    <row r="41" ht="20.05" customHeight="1">
      <c r="B41" t="s" s="10">
        <v>36</v>
      </c>
      <c r="C41" s="17"/>
      <c r="D41" s="18"/>
      <c r="E41" s="18"/>
      <c r="F41" s="18">
        <v>15</v>
      </c>
    </row>
    <row r="42" ht="20.05" customHeight="1">
      <c r="B42" t="s" s="10">
        <v>37</v>
      </c>
      <c r="C42" s="17"/>
      <c r="D42" s="18"/>
      <c r="E42" s="18"/>
      <c r="F42" s="18">
        <f>F38*F41</f>
        <v>34450.3989589875</v>
      </c>
    </row>
    <row r="43" ht="20.05" customHeight="1">
      <c r="B43" t="s" s="10">
        <v>38</v>
      </c>
      <c r="C43" s="17"/>
      <c r="D43" s="18"/>
      <c r="E43" s="18"/>
      <c r="F43" s="18">
        <f>F35/F45</f>
        <v>10.668199936</v>
      </c>
    </row>
    <row r="44" ht="20.05" customHeight="1">
      <c r="B44" t="s" s="10">
        <v>39</v>
      </c>
      <c r="C44" s="17"/>
      <c r="D44" s="18"/>
      <c r="E44" s="18"/>
      <c r="F44" s="18">
        <f>F42/F43</f>
        <v>3229.260715552780</v>
      </c>
    </row>
    <row r="45" ht="20.05" customHeight="1">
      <c r="B45" t="s" s="10">
        <v>40</v>
      </c>
      <c r="C45" s="17"/>
      <c r="D45" s="18"/>
      <c r="E45" s="18"/>
      <c r="F45" s="18">
        <v>3040</v>
      </c>
    </row>
    <row r="46" ht="20.05" customHeight="1">
      <c r="B46" t="s" s="10">
        <v>41</v>
      </c>
      <c r="C46" s="17"/>
      <c r="D46" s="18"/>
      <c r="E46" s="18"/>
      <c r="F46" s="26">
        <f>F44/F45-1</f>
        <v>0.0622568143265724</v>
      </c>
    </row>
    <row r="47" ht="20.05" customHeight="1">
      <c r="B47" t="s" s="10">
        <v>42</v>
      </c>
      <c r="C47" s="17"/>
      <c r="D47" s="18"/>
      <c r="E47" s="18"/>
      <c r="F47" s="26">
        <f>'Sales'!C32/'Sales'!C28-1</f>
        <v>0.0792380342564431</v>
      </c>
    </row>
    <row r="48" ht="20.05" customHeight="1">
      <c r="B48" t="s" s="10">
        <v>43</v>
      </c>
      <c r="C48" s="17"/>
      <c r="D48" s="18"/>
      <c r="E48" s="18"/>
      <c r="F48" s="26">
        <f>'Sales'!F35/'Sales'!E35-1</f>
        <v>0.0181535456079004</v>
      </c>
    </row>
  </sheetData>
  <mergeCells count="1">
    <mergeCell ref="B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63281" style="27" customWidth="1"/>
    <col min="2" max="2" width="9.35156" style="27" customWidth="1"/>
    <col min="3" max="10" width="9.625" style="27" customWidth="1"/>
    <col min="11" max="16384" width="16.3516" style="27" customWidth="1"/>
  </cols>
  <sheetData>
    <row r="1" ht="30.7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44</v>
      </c>
      <c r="C3" t="s" s="5">
        <v>5</v>
      </c>
      <c r="D3" t="s" s="5">
        <v>36</v>
      </c>
      <c r="E3" t="s" s="5">
        <v>21</v>
      </c>
      <c r="F3" t="s" s="5">
        <v>22</v>
      </c>
      <c r="G3" t="s" s="5">
        <v>45</v>
      </c>
      <c r="H3" t="s" s="5">
        <v>46</v>
      </c>
      <c r="I3" t="s" s="5">
        <v>46</v>
      </c>
      <c r="J3" t="s" s="5">
        <v>36</v>
      </c>
    </row>
    <row r="4" ht="20.25" customHeight="1">
      <c r="B4" s="28">
        <v>2015</v>
      </c>
      <c r="C4" s="29">
        <v>5481</v>
      </c>
      <c r="D4" s="30"/>
      <c r="E4" s="31">
        <v>1791</v>
      </c>
      <c r="F4" s="31">
        <v>-758</v>
      </c>
      <c r="G4" s="9"/>
      <c r="H4" s="32">
        <f>(E4+F4-C4)/C4</f>
        <v>-0.8115307425652249</v>
      </c>
      <c r="I4" s="32"/>
      <c r="J4" s="32"/>
    </row>
    <row r="5" ht="20.05" customHeight="1">
      <c r="B5" s="33"/>
      <c r="C5" s="34">
        <v>5610</v>
      </c>
      <c r="D5" s="22"/>
      <c r="E5" s="24">
        <v>1782</v>
      </c>
      <c r="F5" s="24">
        <v>-92</v>
      </c>
      <c r="G5" s="12">
        <f>C5/C4-1</f>
        <v>0.023535851122058</v>
      </c>
      <c r="H5" s="16">
        <f>(E5+F5-C5)/C5</f>
        <v>-0.698752228163993</v>
      </c>
      <c r="I5" s="16"/>
      <c r="J5" s="16"/>
    </row>
    <row r="6" ht="20.05" customHeight="1">
      <c r="B6" s="33"/>
      <c r="C6" s="34">
        <v>5831</v>
      </c>
      <c r="D6" s="22"/>
      <c r="E6" s="24">
        <v>1681</v>
      </c>
      <c r="F6" s="24">
        <v>344</v>
      </c>
      <c r="G6" s="12">
        <f>C6/C5-1</f>
        <v>0.0393939393939394</v>
      </c>
      <c r="H6" s="16">
        <f>(E6+F6-C6)/C6</f>
        <v>-0.652718230149203</v>
      </c>
      <c r="I6" s="16"/>
      <c r="J6" s="16"/>
    </row>
    <row r="7" ht="20.05" customHeight="1">
      <c r="B7" s="33"/>
      <c r="C7" s="34">
        <v>5954</v>
      </c>
      <c r="D7" s="22"/>
      <c r="E7" s="24">
        <v>1881</v>
      </c>
      <c r="F7" s="24">
        <v>481</v>
      </c>
      <c r="G7" s="12">
        <f>C7/C6-1</f>
        <v>0.0210941519464929</v>
      </c>
      <c r="H7" s="16">
        <f>(E7+F7-C7)/C7</f>
        <v>-0.603291904601948</v>
      </c>
      <c r="I7" s="16"/>
      <c r="J7" s="16"/>
    </row>
    <row r="8" ht="20.05" customHeight="1">
      <c r="B8" s="35">
        <v>2016</v>
      </c>
      <c r="C8" s="34">
        <v>5616</v>
      </c>
      <c r="D8" s="22"/>
      <c r="E8" s="24">
        <v>1872</v>
      </c>
      <c r="F8" s="24">
        <v>169</v>
      </c>
      <c r="G8" s="12">
        <f>C8/C7-1</f>
        <v>-0.0567685589519651</v>
      </c>
      <c r="H8" s="16">
        <f>(E8+F8-C8)/C8</f>
        <v>-0.636574074074074</v>
      </c>
      <c r="I8" s="16">
        <f>AVERAGE(H5:H8)</f>
        <v>-0.647834109247305</v>
      </c>
      <c r="J8" s="16"/>
    </row>
    <row r="9" ht="20.05" customHeight="1">
      <c r="B9" s="33"/>
      <c r="C9" s="34">
        <v>5237</v>
      </c>
      <c r="D9" s="22"/>
      <c r="E9" s="24">
        <v>2088</v>
      </c>
      <c r="F9" s="24">
        <v>55</v>
      </c>
      <c r="G9" s="12">
        <f>C9/C8-1</f>
        <v>-0.067485754985755</v>
      </c>
      <c r="H9" s="16">
        <f>(E9+F9-C9)/C9</f>
        <v>-0.590796257399274</v>
      </c>
      <c r="I9" s="16">
        <f>AVERAGE(H6:H9)</f>
        <v>-0.620845116556125</v>
      </c>
      <c r="J9" s="16"/>
    </row>
    <row r="10" ht="20.05" customHeight="1">
      <c r="B10" s="33"/>
      <c r="C10" s="34">
        <v>5230</v>
      </c>
      <c r="D10" s="22"/>
      <c r="E10" s="24">
        <v>1801</v>
      </c>
      <c r="F10" s="24">
        <v>-65</v>
      </c>
      <c r="G10" s="12">
        <f>C10/C9-1</f>
        <v>-0.00133664311628795</v>
      </c>
      <c r="H10" s="16">
        <f>(E10+F10-C10)/C10</f>
        <v>-0.668068833652008</v>
      </c>
      <c r="I10" s="16">
        <f>AVERAGE(H7:H10)</f>
        <v>-0.624682767431826</v>
      </c>
      <c r="J10" s="16"/>
    </row>
    <row r="11" ht="20.05" customHeight="1">
      <c r="B11" s="33"/>
      <c r="C11" s="34">
        <v>5258</v>
      </c>
      <c r="D11" s="22"/>
      <c r="E11" s="24">
        <v>2285</v>
      </c>
      <c r="F11" s="24">
        <v>216</v>
      </c>
      <c r="G11" s="12">
        <f>C11/C10-1</f>
        <v>0.00535372848948375</v>
      </c>
      <c r="H11" s="16">
        <f>(E11+F11-C11)/C11</f>
        <v>-0.52434385697984</v>
      </c>
      <c r="I11" s="16">
        <f>AVERAGE(H8:H11)</f>
        <v>-0.604945755526299</v>
      </c>
      <c r="J11" s="16"/>
    </row>
    <row r="12" ht="20.05" customHeight="1">
      <c r="B12" s="35">
        <v>2017</v>
      </c>
      <c r="C12" s="34">
        <v>5266</v>
      </c>
      <c r="D12" s="22"/>
      <c r="E12" s="24">
        <v>1679</v>
      </c>
      <c r="F12" s="24">
        <v>46</v>
      </c>
      <c r="G12" s="12">
        <f>C12/C11-1</f>
        <v>0.00152149106124002</v>
      </c>
      <c r="H12" s="16">
        <f>(E12+F12-C12)/C12</f>
        <v>-0.672426889479681</v>
      </c>
      <c r="I12" s="16">
        <f>AVERAGE(H9:H12)</f>
        <v>-0.613908959377701</v>
      </c>
      <c r="J12" s="16"/>
    </row>
    <row r="13" ht="20.05" customHeight="1">
      <c r="B13" s="33"/>
      <c r="C13" s="34">
        <v>5667</v>
      </c>
      <c r="D13" s="22"/>
      <c r="E13" s="24">
        <v>1702</v>
      </c>
      <c r="F13" s="24">
        <v>97</v>
      </c>
      <c r="G13" s="12">
        <f>C13/C12-1</f>
        <v>0.07614887960501331</v>
      </c>
      <c r="H13" s="16">
        <f>(E13+F13-C13)/C13</f>
        <v>-0.6825480854067409</v>
      </c>
      <c r="I13" s="16">
        <f>AVERAGE(H10:H13)</f>
        <v>-0.636846916379568</v>
      </c>
      <c r="J13" s="16"/>
    </row>
    <row r="14" ht="20.05" customHeight="1">
      <c r="B14" s="33"/>
      <c r="C14" s="34">
        <v>5970</v>
      </c>
      <c r="D14" s="22"/>
      <c r="E14" s="24">
        <v>1705</v>
      </c>
      <c r="F14" s="24">
        <v>95</v>
      </c>
      <c r="G14" s="12">
        <f>C14/C13-1</f>
        <v>0.0534674430915828</v>
      </c>
      <c r="H14" s="16">
        <f>(E14+F14-C14)/C14</f>
        <v>-0.698492462311558</v>
      </c>
      <c r="I14" s="16">
        <f>AVERAGE(H11:H14)</f>
        <v>-0.644452823544455</v>
      </c>
      <c r="J14" s="16"/>
    </row>
    <row r="15" ht="20.05" customHeight="1">
      <c r="B15" s="33"/>
      <c r="C15" s="34">
        <v>5973</v>
      </c>
      <c r="D15" s="22"/>
      <c r="E15" s="24">
        <v>1865</v>
      </c>
      <c r="F15" s="24">
        <v>137</v>
      </c>
      <c r="G15" s="12">
        <f>C15/C14-1</f>
        <v>0.00050251256281407</v>
      </c>
      <c r="H15" s="16">
        <f>(E15+F15-C15)/C15</f>
        <v>-0.664825046040516</v>
      </c>
      <c r="I15" s="16">
        <f>AVERAGE(H12:H15)</f>
        <v>-0.679573120809624</v>
      </c>
      <c r="J15" s="16"/>
    </row>
    <row r="16" ht="20.05" customHeight="1">
      <c r="B16" s="35">
        <v>2018</v>
      </c>
      <c r="C16" s="34">
        <v>5501</v>
      </c>
      <c r="D16" s="22"/>
      <c r="E16" s="24">
        <v>1848</v>
      </c>
      <c r="F16" s="24">
        <v>15</v>
      </c>
      <c r="G16" s="12">
        <f>C16/C15-1</f>
        <v>-0.0790222668675707</v>
      </c>
      <c r="H16" s="16">
        <f>(E16+F16-C16)/C16</f>
        <v>-0.6613343028540269</v>
      </c>
      <c r="I16" s="16">
        <f>AVERAGE(H13:H16)</f>
        <v>-0.676799974153211</v>
      </c>
      <c r="J16" s="16"/>
    </row>
    <row r="17" ht="20.05" customHeight="1">
      <c r="B17" s="33"/>
      <c r="C17" s="34">
        <v>5545</v>
      </c>
      <c r="D17" s="22"/>
      <c r="E17" s="24">
        <v>1854</v>
      </c>
      <c r="F17" s="24">
        <v>-96</v>
      </c>
      <c r="G17" s="12">
        <f>C17/C16-1</f>
        <v>0.007998545718960189</v>
      </c>
      <c r="H17" s="16">
        <f>(E17+F17-C17)/C17</f>
        <v>-0.682957619477006</v>
      </c>
      <c r="I17" s="16">
        <f>AVERAGE(H14:H17)</f>
        <v>-0.676902357670777</v>
      </c>
      <c r="J17" s="16"/>
    </row>
    <row r="18" ht="20.05" customHeight="1">
      <c r="B18" s="33"/>
      <c r="C18" s="34">
        <v>5846</v>
      </c>
      <c r="D18" s="22"/>
      <c r="E18" s="24">
        <v>1925</v>
      </c>
      <c r="F18" s="24">
        <v>-64</v>
      </c>
      <c r="G18" s="12">
        <f>C18/C17-1</f>
        <v>0.054283137962128</v>
      </c>
      <c r="H18" s="16">
        <f>(E18+F18-C18)/C18</f>
        <v>-0.681662675333561</v>
      </c>
      <c r="I18" s="16">
        <f>AVERAGE(H15:H18)</f>
        <v>-0.672694910926278</v>
      </c>
      <c r="J18" s="16"/>
    </row>
    <row r="19" ht="20.05" customHeight="1">
      <c r="B19" s="33"/>
      <c r="C19" s="34">
        <v>6046</v>
      </c>
      <c r="D19" s="22"/>
      <c r="E19" s="24">
        <v>5995</v>
      </c>
      <c r="F19" s="24">
        <v>-3151</v>
      </c>
      <c r="G19" s="12">
        <f>C19/C18-1</f>
        <v>0.0342114266164899</v>
      </c>
      <c r="H19" s="16">
        <f>(E19+F19-C19)/C19</f>
        <v>-0.529606351306649</v>
      </c>
      <c r="I19" s="16">
        <f>AVERAGE(H16:H19)</f>
        <v>-0.638890237242811</v>
      </c>
      <c r="J19" s="16"/>
    </row>
    <row r="20" ht="20.05" customHeight="1">
      <c r="B20" s="35">
        <v>2019</v>
      </c>
      <c r="C20" s="34">
        <v>5967</v>
      </c>
      <c r="D20" s="22"/>
      <c r="E20" s="24">
        <v>1771</v>
      </c>
      <c r="F20" s="24">
        <v>57</v>
      </c>
      <c r="G20" s="12">
        <f>C20/C19-1</f>
        <v>-0.013066490241482</v>
      </c>
      <c r="H20" s="16">
        <f>(E20+F20-C20)/C20</f>
        <v>-0.693648399530752</v>
      </c>
      <c r="I20" s="16">
        <f>AVERAGE(H17:H20)</f>
        <v>-0.646968761411992</v>
      </c>
      <c r="J20" s="16"/>
    </row>
    <row r="21" ht="20.05" customHeight="1">
      <c r="B21" s="33"/>
      <c r="C21" s="34">
        <v>6290</v>
      </c>
      <c r="D21" s="22"/>
      <c r="E21" s="24">
        <v>1761</v>
      </c>
      <c r="F21" s="24">
        <v>225</v>
      </c>
      <c r="G21" s="12">
        <f>C21/C20-1</f>
        <v>0.0541310541310541</v>
      </c>
      <c r="H21" s="16">
        <f>(E21+F21-C21)/C21</f>
        <v>-0.684260731319555</v>
      </c>
      <c r="I21" s="16">
        <f>AVERAGE(H18:H21)</f>
        <v>-0.647294539372629</v>
      </c>
      <c r="J21" s="16"/>
    </row>
    <row r="22" ht="20.05" customHeight="1">
      <c r="B22" s="33"/>
      <c r="C22" s="34">
        <v>6464</v>
      </c>
      <c r="D22" s="24">
        <v>6547.52</v>
      </c>
      <c r="E22" s="24">
        <v>1878</v>
      </c>
      <c r="F22" s="24">
        <v>216</v>
      </c>
      <c r="G22" s="12">
        <f>C22/C21-1</f>
        <v>0.0276629570747218</v>
      </c>
      <c r="H22" s="16">
        <f>(E22+F22-C22)/C22</f>
        <v>-0.67605198019802</v>
      </c>
      <c r="I22" s="16">
        <f>AVERAGE(H19:H22)</f>
        <v>-0.645891865588744</v>
      </c>
      <c r="J22" s="16"/>
    </row>
    <row r="23" ht="20.05" customHeight="1">
      <c r="B23" s="33"/>
      <c r="C23" s="34">
        <v>6412</v>
      </c>
      <c r="D23" s="24">
        <v>6771.52</v>
      </c>
      <c r="E23" s="24">
        <v>1953</v>
      </c>
      <c r="F23" s="24">
        <v>215</v>
      </c>
      <c r="G23" s="12">
        <f>C23/C22-1</f>
        <v>-0.00804455445544554</v>
      </c>
      <c r="H23" s="16">
        <f>(E23+F23-C23)/C23</f>
        <v>-0.661883967560823</v>
      </c>
      <c r="I23" s="16">
        <f>AVERAGE(H20:H23)</f>
        <v>-0.678961269652288</v>
      </c>
      <c r="J23" s="16"/>
    </row>
    <row r="24" ht="20.05" customHeight="1">
      <c r="B24" s="35">
        <v>2020</v>
      </c>
      <c r="C24" s="34">
        <v>6497</v>
      </c>
      <c r="D24" s="24">
        <v>6325.02</v>
      </c>
      <c r="E24" s="24">
        <v>2603</v>
      </c>
      <c r="F24" s="24">
        <v>1519.7</v>
      </c>
      <c r="G24" s="12">
        <f>C24/C23-1</f>
        <v>0.0132563942607611</v>
      </c>
      <c r="H24" s="16">
        <f>(E24+F24-C24)/C24</f>
        <v>-0.365445590272433</v>
      </c>
      <c r="I24" s="16">
        <f>AVERAGE(H21:H24)</f>
        <v>-0.596910567337708</v>
      </c>
      <c r="J24" s="16"/>
    </row>
    <row r="25" ht="20.05" customHeight="1">
      <c r="B25" s="33"/>
      <c r="C25" s="34">
        <v>6585</v>
      </c>
      <c r="D25" s="24">
        <v>6478.7</v>
      </c>
      <c r="E25" s="24">
        <v>2496</v>
      </c>
      <c r="F25" s="24">
        <f>1744-F24</f>
        <v>224.3</v>
      </c>
      <c r="G25" s="12">
        <f>C25/C24-1</f>
        <v>0.0135447129444359</v>
      </c>
      <c r="H25" s="16">
        <f>(E25+F25-C25)/C25</f>
        <v>-0.586894457099468</v>
      </c>
      <c r="I25" s="16">
        <f>AVERAGE(H22:H25)</f>
        <v>-0.572568998782686</v>
      </c>
      <c r="J25" s="16"/>
    </row>
    <row r="26" ht="20.05" customHeight="1">
      <c r="B26" s="33"/>
      <c r="C26" s="34">
        <f>19656-SUM(C24:C25)</f>
        <v>6574</v>
      </c>
      <c r="D26" s="24">
        <v>6722.56</v>
      </c>
      <c r="E26" s="24">
        <v>2342</v>
      </c>
      <c r="F26" s="24">
        <f>2075-SUM(F24:F25)</f>
        <v>331</v>
      </c>
      <c r="G26" s="12">
        <f>C26/C25-1</f>
        <v>-0.00167046317388003</v>
      </c>
      <c r="H26" s="16">
        <f>(E26+F26-C26)/C26</f>
        <v>-0.593398235473076</v>
      </c>
      <c r="I26" s="16">
        <f>AVERAGE(H23:H26)</f>
        <v>-0.55190556260145</v>
      </c>
      <c r="J26" s="16"/>
    </row>
    <row r="27" ht="20.05" customHeight="1">
      <c r="B27" s="33"/>
      <c r="C27" s="34">
        <f>26009.1-SUM(C24:C26)</f>
        <v>6353.1</v>
      </c>
      <c r="D27" s="24">
        <v>6640</v>
      </c>
      <c r="E27" s="24">
        <f>12432.8+21.8-7.9-SUM(E24:E26)</f>
        <v>5005.7</v>
      </c>
      <c r="F27" s="24">
        <f>371.6-SUM(F24:F26)</f>
        <v>-1703.4</v>
      </c>
      <c r="G27" s="12">
        <f>C27/C26-1</f>
        <v>-0.0336020687557043</v>
      </c>
      <c r="H27" s="16">
        <f>(E27+F27-C27)/C27</f>
        <v>-0.480206513355685</v>
      </c>
      <c r="I27" s="16">
        <f>AVERAGE(H24:H27)</f>
        <v>-0.506486199050166</v>
      </c>
      <c r="J27" s="16"/>
    </row>
    <row r="28" ht="20.05" customHeight="1">
      <c r="B28" s="35">
        <v>2021</v>
      </c>
      <c r="C28" s="34">
        <v>6247</v>
      </c>
      <c r="D28" s="24">
        <v>6670.755</v>
      </c>
      <c r="E28" s="24">
        <f>2419.9-2.2</f>
        <v>2417.7</v>
      </c>
      <c r="F28" s="24">
        <v>320.5</v>
      </c>
      <c r="G28" s="12">
        <f>C28/C27-1</f>
        <v>-0.0167005084132156</v>
      </c>
      <c r="H28" s="16">
        <f>(E28+F28-C28)/C28</f>
        <v>-0.56167760525052</v>
      </c>
      <c r="I28" s="16">
        <f>AVERAGE(H25:H28)</f>
        <v>-0.555544202794687</v>
      </c>
      <c r="J28" s="16"/>
    </row>
    <row r="29" ht="20.05" customHeight="1">
      <c r="B29" s="33"/>
      <c r="C29" s="36">
        <f>12974.2-C28</f>
        <v>6727.2</v>
      </c>
      <c r="D29" s="24">
        <v>6820.4746</v>
      </c>
      <c r="E29" s="24">
        <f>4919.5-E28</f>
        <v>2501.8</v>
      </c>
      <c r="F29" s="24">
        <f>716-F28</f>
        <v>395.5</v>
      </c>
      <c r="G29" s="12">
        <f>C29/C28-1</f>
        <v>0.0768688970705939</v>
      </c>
      <c r="H29" s="16">
        <f>(E29+F29-C29)/C29</f>
        <v>-0.569315614222856</v>
      </c>
      <c r="I29" s="16">
        <f>AVERAGE(H26:H29)</f>
        <v>-0.551149492075534</v>
      </c>
      <c r="J29" s="16"/>
    </row>
    <row r="30" ht="20.05" customHeight="1">
      <c r="B30" s="33"/>
      <c r="C30" s="34">
        <f>19800.2-SUM(C28:C29)</f>
        <v>6826</v>
      </c>
      <c r="D30" s="37">
        <v>6861.744</v>
      </c>
      <c r="E30" s="24">
        <f>7419.6+3.8-SUM(E28:E29)</f>
        <v>2503.9</v>
      </c>
      <c r="F30" s="24">
        <f>1016.4-SUM(F28:F29)</f>
        <v>300.4</v>
      </c>
      <c r="G30" s="12">
        <f>C30/C29-1</f>
        <v>0.0146866452610298</v>
      </c>
      <c r="H30" s="16">
        <f>(E30+F30-C30)/C30</f>
        <v>-0.589173747436273</v>
      </c>
      <c r="I30" s="16">
        <f>AVERAGE(H27:H30)</f>
        <v>-0.550093370066334</v>
      </c>
      <c r="J30" s="16"/>
    </row>
    <row r="31" ht="20.05" customHeight="1">
      <c r="B31" s="33"/>
      <c r="C31" s="34">
        <f>26754-SUM(C28:C30)</f>
        <v>6953.8</v>
      </c>
      <c r="D31" s="37">
        <v>7167.3</v>
      </c>
      <c r="E31" s="24">
        <f>9956.2-SUM(E28:E30)</f>
        <v>2532.8</v>
      </c>
      <c r="F31" s="24">
        <f>1287.8-SUM(F28:F30)</f>
        <v>271.4</v>
      </c>
      <c r="G31" s="12">
        <f>C31/C30-1</f>
        <v>0.0187225314972165</v>
      </c>
      <c r="H31" s="16">
        <f>(E31+F31-C31)/C31</f>
        <v>-0.596738473927924</v>
      </c>
      <c r="I31" s="16">
        <f>AVERAGE(H28:H31)</f>
        <v>-0.579226360209393</v>
      </c>
      <c r="J31" s="16"/>
    </row>
    <row r="32" ht="20.05" customHeight="1">
      <c r="B32" s="35">
        <v>2022</v>
      </c>
      <c r="C32" s="34">
        <v>6742</v>
      </c>
      <c r="D32" s="37">
        <v>6689.48</v>
      </c>
      <c r="E32" s="24">
        <v>2561</v>
      </c>
      <c r="F32" s="22">
        <v>139</v>
      </c>
      <c r="G32" s="12">
        <f>C32/C31-1</f>
        <v>-0.030458166757744</v>
      </c>
      <c r="H32" s="16">
        <f>(E32+F32-C32)/C32</f>
        <v>-0.599525363393652</v>
      </c>
      <c r="I32" s="16">
        <f>AVERAGE(H29:H32)</f>
        <v>-0.588688299745176</v>
      </c>
      <c r="J32" s="12">
        <v>-0.579226360209393</v>
      </c>
    </row>
    <row r="33" ht="20.05" customHeight="1">
      <c r="B33" s="33"/>
      <c r="C33" s="34"/>
      <c r="D33" s="37">
        <f>'Model'!C5</f>
        <v>6944.26</v>
      </c>
      <c r="E33" s="22"/>
      <c r="F33" s="22"/>
      <c r="G33" s="12"/>
      <c r="H33" s="12"/>
      <c r="I33" s="16"/>
      <c r="J33" s="12">
        <f>'Model'!C6</f>
        <v>-0.588688299745176</v>
      </c>
    </row>
    <row r="34" ht="20.05" customHeight="1">
      <c r="B34" s="33"/>
      <c r="C34" s="34"/>
      <c r="D34" s="24">
        <f>'Model'!D5</f>
        <v>7222.0304</v>
      </c>
      <c r="E34" s="22"/>
      <c r="F34" s="22"/>
      <c r="G34" s="12"/>
      <c r="H34" s="12"/>
      <c r="I34" s="16"/>
      <c r="J34" s="16"/>
    </row>
    <row r="35" ht="20.05" customHeight="1">
      <c r="B35" s="33"/>
      <c r="C35" s="34"/>
      <c r="D35" s="24">
        <f>'Model'!E5</f>
        <v>7366.471008</v>
      </c>
      <c r="E35" s="24">
        <f>SUM(C22:C32)</f>
        <v>72381.100000000006</v>
      </c>
      <c r="F35" s="24">
        <f>SUM(D22:D32)</f>
        <v>73695.0736</v>
      </c>
      <c r="G35" s="12"/>
      <c r="H35" s="12"/>
      <c r="I35" s="16"/>
      <c r="J35" s="16"/>
    </row>
    <row r="36" ht="20.05" customHeight="1">
      <c r="B36" s="35">
        <v>2023</v>
      </c>
      <c r="C36" s="34"/>
      <c r="D36" s="24">
        <f>'Model'!F5</f>
        <v>7292.80629792</v>
      </c>
      <c r="E36" s="22"/>
      <c r="F36" s="22"/>
      <c r="G36" s="12"/>
      <c r="H36" s="12"/>
      <c r="I36" s="16"/>
      <c r="J36" s="16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66406" style="38" customWidth="1"/>
    <col min="2" max="2" width="7.47656" style="38" customWidth="1"/>
    <col min="3" max="16" width="10.3594" style="38" customWidth="1"/>
    <col min="17" max="16384" width="16.3516" style="38" customWidth="1"/>
  </cols>
  <sheetData>
    <row r="1" ht="14.1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47</v>
      </c>
      <c r="D3" t="s" s="5">
        <v>8</v>
      </c>
      <c r="E3" t="s" s="5">
        <v>48</v>
      </c>
      <c r="F3" t="s" s="5">
        <v>49</v>
      </c>
      <c r="G3" t="s" s="5">
        <v>50</v>
      </c>
      <c r="H3" t="s" s="5">
        <v>12</v>
      </c>
      <c r="I3" t="s" s="5">
        <v>15</v>
      </c>
      <c r="J3" t="s" s="5">
        <v>51</v>
      </c>
      <c r="K3" t="s" s="5">
        <v>52</v>
      </c>
      <c r="L3" t="s" s="5">
        <v>34</v>
      </c>
      <c r="M3" t="s" s="5">
        <v>36</v>
      </c>
      <c r="N3" t="s" s="5">
        <v>30</v>
      </c>
      <c r="O3" t="s" s="5">
        <v>36</v>
      </c>
      <c r="P3" s="39"/>
    </row>
    <row r="4" ht="20.25" customHeight="1">
      <c r="B4" s="28">
        <v>2015</v>
      </c>
      <c r="C4" s="29">
        <v>4925</v>
      </c>
      <c r="D4" s="31">
        <v>1514</v>
      </c>
      <c r="E4" s="31">
        <v>-913</v>
      </c>
      <c r="F4" s="31">
        <v>-323</v>
      </c>
      <c r="G4" s="31"/>
      <c r="H4" s="31"/>
      <c r="I4" s="31"/>
      <c r="J4" s="31">
        <v>-706</v>
      </c>
      <c r="K4" s="31">
        <f>F4+D4+E4+G4</f>
        <v>278</v>
      </c>
      <c r="L4" s="31"/>
      <c r="M4" s="31"/>
      <c r="N4" s="31">
        <f>-(J4-F4)</f>
        <v>383</v>
      </c>
      <c r="O4" s="31"/>
      <c r="P4" s="31">
        <v>1</v>
      </c>
    </row>
    <row r="5" ht="20.05" customHeight="1">
      <c r="B5" s="33"/>
      <c r="C5" s="34">
        <v>6012</v>
      </c>
      <c r="D5" s="24">
        <v>2018</v>
      </c>
      <c r="E5" s="24">
        <v>-1596</v>
      </c>
      <c r="F5" s="24">
        <f>-636-F4</f>
        <v>-313</v>
      </c>
      <c r="G5" s="24"/>
      <c r="H5" s="24"/>
      <c r="I5" s="24"/>
      <c r="J5" s="24">
        <v>-1778</v>
      </c>
      <c r="K5" s="24">
        <f>F5+D5+E5+G5</f>
        <v>109</v>
      </c>
      <c r="L5" s="24"/>
      <c r="M5" s="24"/>
      <c r="N5" s="24">
        <f>-(J5-G5-F5)+N4</f>
        <v>1848</v>
      </c>
      <c r="O5" s="24"/>
      <c r="P5" s="24">
        <f>1+P4</f>
        <v>2</v>
      </c>
    </row>
    <row r="6" ht="20.05" customHeight="1">
      <c r="B6" s="33"/>
      <c r="C6" s="34">
        <v>5691</v>
      </c>
      <c r="D6" s="24">
        <v>3234</v>
      </c>
      <c r="E6" s="24">
        <v>-802</v>
      </c>
      <c r="F6" s="24">
        <f>-935-SUM(F4:F5)</f>
        <v>-299</v>
      </c>
      <c r="G6" s="24"/>
      <c r="H6" s="24"/>
      <c r="I6" s="24"/>
      <c r="J6" s="24">
        <v>-4305</v>
      </c>
      <c r="K6" s="24">
        <f>F6+D6+E6+G6</f>
        <v>2133</v>
      </c>
      <c r="L6" s="24"/>
      <c r="M6" s="24"/>
      <c r="N6" s="24">
        <f>-(J6-G6-F6)+N5</f>
        <v>5854</v>
      </c>
      <c r="O6" s="24"/>
      <c r="P6" s="24">
        <f>1+P5</f>
        <v>3</v>
      </c>
    </row>
    <row r="7" ht="20.05" customHeight="1">
      <c r="B7" s="33"/>
      <c r="C7" s="34">
        <v>6312</v>
      </c>
      <c r="D7" s="24">
        <v>740</v>
      </c>
      <c r="E7" s="24">
        <v>-1294</v>
      </c>
      <c r="F7" s="24">
        <f>-1260-SUM(F4:F6)</f>
        <v>-325</v>
      </c>
      <c r="G7" s="24"/>
      <c r="H7" s="24"/>
      <c r="I7" s="24"/>
      <c r="J7" s="24">
        <v>233</v>
      </c>
      <c r="K7" s="24">
        <f>F7+D7+E7+G7</f>
        <v>-879</v>
      </c>
      <c r="L7" s="24"/>
      <c r="M7" s="24"/>
      <c r="N7" s="24">
        <f>-(J7-G7-F7)+N6</f>
        <v>5296</v>
      </c>
      <c r="O7" s="24"/>
      <c r="P7" s="24">
        <f>1+P6</f>
        <v>4</v>
      </c>
    </row>
    <row r="8" ht="20.05" customHeight="1">
      <c r="B8" s="35">
        <v>2016</v>
      </c>
      <c r="C8" s="34">
        <v>5260</v>
      </c>
      <c r="D8" s="24">
        <v>1943</v>
      </c>
      <c r="E8" s="24">
        <v>-1255</v>
      </c>
      <c r="F8" s="24">
        <f>-410-38</f>
        <v>-448</v>
      </c>
      <c r="G8" s="24">
        <v>-356</v>
      </c>
      <c r="H8" s="24"/>
      <c r="I8" s="24"/>
      <c r="J8" s="24">
        <v>-1729</v>
      </c>
      <c r="K8" s="24">
        <f>F8+D8+E8+G8</f>
        <v>-116</v>
      </c>
      <c r="L8" s="24">
        <f>SUM(K5:K8)</f>
        <v>1247</v>
      </c>
      <c r="M8" s="24"/>
      <c r="N8" s="24">
        <f>-(J8-G8-F8)+N7</f>
        <v>6221</v>
      </c>
      <c r="O8" s="24"/>
      <c r="P8" s="24">
        <f>1+P7</f>
        <v>5</v>
      </c>
    </row>
    <row r="9" ht="20.05" customHeight="1">
      <c r="B9" s="33"/>
      <c r="C9" s="34">
        <v>5962</v>
      </c>
      <c r="D9" s="24">
        <v>2526</v>
      </c>
      <c r="E9" s="24">
        <v>981</v>
      </c>
      <c r="F9" s="24">
        <f>-789-75-F8</f>
        <v>-416</v>
      </c>
      <c r="G9" s="24">
        <v>-51</v>
      </c>
      <c r="H9" s="24"/>
      <c r="I9" s="24"/>
      <c r="J9" s="24">
        <v>495</v>
      </c>
      <c r="K9" s="24">
        <f>F9+D9+E9+G9</f>
        <v>3040</v>
      </c>
      <c r="L9" s="24">
        <f>SUM(K6:K9)</f>
        <v>4178</v>
      </c>
      <c r="M9" s="24"/>
      <c r="N9" s="24">
        <f>-(J9-G9-F9)+N8</f>
        <v>5259</v>
      </c>
      <c r="O9" s="24"/>
      <c r="P9" s="24">
        <f>1+P8</f>
        <v>6</v>
      </c>
    </row>
    <row r="10" ht="20.05" customHeight="1">
      <c r="B10" s="33"/>
      <c r="C10" s="34">
        <v>4919</v>
      </c>
      <c r="D10" s="24">
        <v>2698</v>
      </c>
      <c r="E10" s="24">
        <v>-2456</v>
      </c>
      <c r="F10" s="24">
        <f>-1085-113-SUM(F8:F9)</f>
        <v>-334</v>
      </c>
      <c r="G10" s="24">
        <v>-111</v>
      </c>
      <c r="H10" s="24"/>
      <c r="I10" s="24"/>
      <c r="J10" s="24">
        <v>-3119</v>
      </c>
      <c r="K10" s="24">
        <f>F10+D10+E10+G10</f>
        <v>-203</v>
      </c>
      <c r="L10" s="24">
        <f>SUM(K7:K10)</f>
        <v>1842</v>
      </c>
      <c r="M10" s="24"/>
      <c r="N10" s="24">
        <f>-(J10-G10-F10)+N9</f>
        <v>7933</v>
      </c>
      <c r="O10" s="24"/>
      <c r="P10" s="24">
        <f>1+P9</f>
        <v>7</v>
      </c>
    </row>
    <row r="11" ht="20.05" customHeight="1">
      <c r="B11" s="33"/>
      <c r="C11" s="34">
        <v>5152</v>
      </c>
      <c r="D11" s="24">
        <v>145</v>
      </c>
      <c r="E11" s="24">
        <v>-1119</v>
      </c>
      <c r="F11" s="24">
        <f>-1336-151-SUM(F8:F10)</f>
        <v>-289</v>
      </c>
      <c r="G11" s="24">
        <v>-81</v>
      </c>
      <c r="H11" s="24"/>
      <c r="I11" s="24"/>
      <c r="J11" s="24">
        <v>-1016</v>
      </c>
      <c r="K11" s="24">
        <f>F11+D11+E11+G11</f>
        <v>-1344</v>
      </c>
      <c r="L11" s="24">
        <f>SUM(K8:K11)</f>
        <v>1377</v>
      </c>
      <c r="M11" s="24"/>
      <c r="N11" s="24">
        <f>-(J11-G11-F11)+N10</f>
        <v>8579</v>
      </c>
      <c r="O11" s="24"/>
      <c r="P11" s="24">
        <f>1+P10</f>
        <v>8</v>
      </c>
    </row>
    <row r="12" ht="20.05" customHeight="1">
      <c r="B12" s="35">
        <v>2017</v>
      </c>
      <c r="C12" s="34">
        <v>5231</v>
      </c>
      <c r="D12" s="24">
        <v>2433</v>
      </c>
      <c r="E12" s="24">
        <v>-1239</v>
      </c>
      <c r="F12" s="24">
        <f>-242-27</f>
        <v>-269</v>
      </c>
      <c r="G12" s="24">
        <v>-518</v>
      </c>
      <c r="H12" s="24"/>
      <c r="I12" s="24"/>
      <c r="J12" s="24">
        <v>-861</v>
      </c>
      <c r="K12" s="24">
        <f>F12+D12+E12+G12</f>
        <v>407</v>
      </c>
      <c r="L12" s="24">
        <f>SUM(K9:K12)</f>
        <v>1900</v>
      </c>
      <c r="M12" s="24"/>
      <c r="N12" s="24">
        <f>-(J12-G12-F12)+N11</f>
        <v>8653</v>
      </c>
      <c r="O12" s="24"/>
      <c r="P12" s="24">
        <f>1+P11</f>
        <v>9</v>
      </c>
    </row>
    <row r="13" ht="20.05" customHeight="1">
      <c r="B13" s="33"/>
      <c r="C13" s="34">
        <v>5669</v>
      </c>
      <c r="D13" s="24">
        <v>2933</v>
      </c>
      <c r="E13" s="24">
        <v>-2337</v>
      </c>
      <c r="F13" s="24">
        <f>-483-54-F12</f>
        <v>-268</v>
      </c>
      <c r="G13" s="24">
        <v>-114</v>
      </c>
      <c r="H13" s="24"/>
      <c r="I13" s="24"/>
      <c r="J13" s="24">
        <v>-382</v>
      </c>
      <c r="K13" s="24">
        <f>F13+D13+E13+G13</f>
        <v>214</v>
      </c>
      <c r="L13" s="24">
        <f>SUM(K10:K13)</f>
        <v>-926</v>
      </c>
      <c r="M13" s="24"/>
      <c r="N13" s="24">
        <f>-(J13-G13-F13)+N12</f>
        <v>8653</v>
      </c>
      <c r="O13" s="24"/>
      <c r="P13" s="24">
        <f>1+P12</f>
        <v>10</v>
      </c>
    </row>
    <row r="14" ht="20.05" customHeight="1">
      <c r="B14" s="33"/>
      <c r="C14" s="34">
        <v>5818</v>
      </c>
      <c r="D14" s="24">
        <v>2558</v>
      </c>
      <c r="E14" s="24">
        <v>-1640</v>
      </c>
      <c r="F14" s="24">
        <f>-678-124-SUM(F12:F13)</f>
        <v>-265</v>
      </c>
      <c r="G14" s="24">
        <v>-50</v>
      </c>
      <c r="H14" s="24"/>
      <c r="I14" s="24"/>
      <c r="J14" s="24">
        <v>-1567</v>
      </c>
      <c r="K14" s="24">
        <f>F14+D14+E14+G14</f>
        <v>603</v>
      </c>
      <c r="L14" s="24">
        <f>SUM(K11:K14)</f>
        <v>-120</v>
      </c>
      <c r="M14" s="24"/>
      <c r="N14" s="24">
        <f>-(J14-G14-F14)+N13</f>
        <v>9905</v>
      </c>
      <c r="O14" s="24"/>
      <c r="P14" s="24">
        <f>1+P13</f>
        <v>11</v>
      </c>
    </row>
    <row r="15" ht="20.05" customHeight="1">
      <c r="B15" s="33"/>
      <c r="C15" s="34">
        <v>6081</v>
      </c>
      <c r="D15" s="24">
        <v>1688</v>
      </c>
      <c r="E15" s="24">
        <v>-1419</v>
      </c>
      <c r="F15" s="24">
        <f>-849-195-SUM(F12:F14)</f>
        <v>-242</v>
      </c>
      <c r="G15" s="24">
        <v>-223</v>
      </c>
      <c r="H15" s="24"/>
      <c r="I15" s="24"/>
      <c r="J15" s="24">
        <v>884</v>
      </c>
      <c r="K15" s="24">
        <f>F15+D15+E15+G15</f>
        <v>-196</v>
      </c>
      <c r="L15" s="24">
        <f>SUM(K12:K15)</f>
        <v>1028</v>
      </c>
      <c r="M15" s="24"/>
      <c r="N15" s="24">
        <f>-(J15-G15-F15)+N14</f>
        <v>8556</v>
      </c>
      <c r="O15" s="24"/>
      <c r="P15" s="24">
        <f>1+P14</f>
        <v>12</v>
      </c>
    </row>
    <row r="16" ht="20.05" customHeight="1">
      <c r="B16" s="35">
        <v>2018</v>
      </c>
      <c r="C16" s="34">
        <v>5582</v>
      </c>
      <c r="D16" s="24">
        <v>2344</v>
      </c>
      <c r="E16" s="24">
        <v>-915</v>
      </c>
      <c r="F16" s="24">
        <f>-191-71</f>
        <v>-262</v>
      </c>
      <c r="G16" s="24">
        <v>-338</v>
      </c>
      <c r="H16" s="24"/>
      <c r="I16" s="24"/>
      <c r="J16" s="24">
        <v>-603</v>
      </c>
      <c r="K16" s="24">
        <f>F16+D16+E16+G16</f>
        <v>829</v>
      </c>
      <c r="L16" s="24">
        <f>SUM(K13:K16)</f>
        <v>1450</v>
      </c>
      <c r="M16" s="24"/>
      <c r="N16" s="24">
        <f>-(J16-G16-F16)+N15</f>
        <v>8559</v>
      </c>
      <c r="O16" s="24"/>
      <c r="P16" s="24">
        <f>1+P15</f>
        <v>13</v>
      </c>
    </row>
    <row r="17" ht="20.05" customHeight="1">
      <c r="B17" s="33"/>
      <c r="C17" s="34">
        <v>5734</v>
      </c>
      <c r="D17" s="24">
        <v>1909</v>
      </c>
      <c r="E17" s="24">
        <v>-1058</v>
      </c>
      <c r="F17" s="24">
        <f>-384-144-F16</f>
        <v>-266</v>
      </c>
      <c r="G17" s="24">
        <v>-267</v>
      </c>
      <c r="H17" s="24"/>
      <c r="I17" s="24"/>
      <c r="J17" s="24">
        <v>-2068</v>
      </c>
      <c r="K17" s="24">
        <f>F17+D17+E17+G17</f>
        <v>318</v>
      </c>
      <c r="L17" s="24">
        <f>SUM(K14:K17)</f>
        <v>1554</v>
      </c>
      <c r="M17" s="24"/>
      <c r="N17" s="24">
        <f>-(J17-G17-F17)+N16</f>
        <v>10094</v>
      </c>
      <c r="O17" s="24"/>
      <c r="P17" s="24">
        <f>1+P16</f>
        <v>14</v>
      </c>
    </row>
    <row r="18" ht="20.05" customHeight="1">
      <c r="B18" s="33"/>
      <c r="C18" s="34">
        <v>6246</v>
      </c>
      <c r="D18" s="24">
        <v>783</v>
      </c>
      <c r="E18" s="24">
        <v>-1683</v>
      </c>
      <c r="F18" s="24">
        <f>-592-196-SUM(F16:F17)</f>
        <v>-260</v>
      </c>
      <c r="G18" s="24">
        <v>-194</v>
      </c>
      <c r="H18" s="24"/>
      <c r="I18" s="24"/>
      <c r="J18" s="24">
        <v>1044</v>
      </c>
      <c r="K18" s="24">
        <f>F18+D18+E18+G18</f>
        <v>-1354</v>
      </c>
      <c r="L18" s="24">
        <f>SUM(K15:K18)</f>
        <v>-403</v>
      </c>
      <c r="M18" s="24"/>
      <c r="N18" s="24">
        <f>-(J18-G18-F18)+N17</f>
        <v>8596</v>
      </c>
      <c r="O18" s="24"/>
      <c r="P18" s="24">
        <f>1+P17</f>
        <v>15</v>
      </c>
    </row>
    <row r="19" ht="20.05" customHeight="1">
      <c r="B19" s="33"/>
      <c r="C19" s="34">
        <v>6193</v>
      </c>
      <c r="D19" s="24">
        <v>4322</v>
      </c>
      <c r="E19" s="24">
        <v>-2547</v>
      </c>
      <c r="F19" s="24">
        <f>-836-248-SUM(F16:F18)</f>
        <v>-296</v>
      </c>
      <c r="G19" s="24">
        <v>-344</v>
      </c>
      <c r="H19" s="24"/>
      <c r="I19" s="24"/>
      <c r="J19" s="24">
        <v>-2961</v>
      </c>
      <c r="K19" s="24">
        <f>F19+D19+E19+G19</f>
        <v>1135</v>
      </c>
      <c r="L19" s="24">
        <f>SUM(K16:K19)</f>
        <v>928</v>
      </c>
      <c r="M19" s="24"/>
      <c r="N19" s="24">
        <f>-(J19-G19-F19)+N18</f>
        <v>10917</v>
      </c>
      <c r="O19" s="24"/>
      <c r="P19" s="24">
        <f>1+P18</f>
        <v>16</v>
      </c>
    </row>
    <row r="20" ht="20.05" customHeight="1">
      <c r="B20" s="35">
        <v>2019</v>
      </c>
      <c r="C20" s="34">
        <v>5843</v>
      </c>
      <c r="D20" s="24">
        <v>3074</v>
      </c>
      <c r="E20" s="24">
        <v>-2464</v>
      </c>
      <c r="F20" s="24">
        <f>-203-22-68</f>
        <v>-293</v>
      </c>
      <c r="G20" s="24">
        <v>-1025</v>
      </c>
      <c r="H20" s="24"/>
      <c r="I20" s="24"/>
      <c r="J20" s="24">
        <v>-49</v>
      </c>
      <c r="K20" s="24">
        <f>F20+D20+E20+G20</f>
        <v>-708</v>
      </c>
      <c r="L20" s="24">
        <f>SUM(K17:K20)</f>
        <v>-609</v>
      </c>
      <c r="M20" s="24"/>
      <c r="N20" s="24">
        <f>-(J20-G20-F20)+N19</f>
        <v>9648</v>
      </c>
      <c r="O20" s="24"/>
      <c r="P20" s="24">
        <f>1+P19</f>
        <v>17</v>
      </c>
    </row>
    <row r="21" ht="20.05" customHeight="1">
      <c r="B21" s="33"/>
      <c r="C21" s="34">
        <v>6831</v>
      </c>
      <c r="D21" s="24">
        <v>3829</v>
      </c>
      <c r="E21" s="24">
        <v>-2109</v>
      </c>
      <c r="F21" s="24">
        <f>-407-58-149-F20</f>
        <v>-321</v>
      </c>
      <c r="G21" s="24">
        <v>-483</v>
      </c>
      <c r="H21" s="24"/>
      <c r="I21" s="24"/>
      <c r="J21" s="24">
        <v>-1105</v>
      </c>
      <c r="K21" s="24">
        <f>F21+D21+E21+G21</f>
        <v>916</v>
      </c>
      <c r="L21" s="24">
        <f>SUM(K18:K21)</f>
        <v>-11</v>
      </c>
      <c r="M21" s="24"/>
      <c r="N21" s="24">
        <f>-(J21-G21-F21)+N20</f>
        <v>9949</v>
      </c>
      <c r="O21" s="24"/>
      <c r="P21" s="24">
        <f>1+P20</f>
        <v>18</v>
      </c>
    </row>
    <row r="22" ht="20.05" customHeight="1">
      <c r="B22" s="33"/>
      <c r="C22" s="34">
        <v>6987</v>
      </c>
      <c r="D22" s="24">
        <v>2025</v>
      </c>
      <c r="E22" s="24">
        <v>-1850</v>
      </c>
      <c r="F22" s="24">
        <f>-605-94-231-SUM(F20:F21)</f>
        <v>-316</v>
      </c>
      <c r="G22" s="24">
        <v>-426</v>
      </c>
      <c r="H22" s="24"/>
      <c r="I22" s="24"/>
      <c r="J22" s="24">
        <v>-892</v>
      </c>
      <c r="K22" s="24">
        <f>F22+D22+E22+G22</f>
        <v>-567</v>
      </c>
      <c r="L22" s="24">
        <f>SUM(K19:K22)</f>
        <v>776</v>
      </c>
      <c r="M22" s="24"/>
      <c r="N22" s="24">
        <f>-(J22-G22-F22)+N21</f>
        <v>10099</v>
      </c>
      <c r="O22" s="24"/>
      <c r="P22" s="24">
        <f>1+P21</f>
        <v>19</v>
      </c>
    </row>
    <row r="23" ht="20.05" customHeight="1">
      <c r="B23" s="33"/>
      <c r="C23" s="34">
        <v>6984</v>
      </c>
      <c r="D23" s="24">
        <v>3429</v>
      </c>
      <c r="E23" s="24">
        <v>-2269</v>
      </c>
      <c r="F23" s="24">
        <f>-784-131-313-SUM(F20:F22)</f>
        <v>-298</v>
      </c>
      <c r="G23" s="24">
        <v>-161</v>
      </c>
      <c r="H23" s="24"/>
      <c r="I23" s="24"/>
      <c r="J23" s="24">
        <v>-1015</v>
      </c>
      <c r="K23" s="24">
        <f>F23+D23+E23+G23</f>
        <v>701</v>
      </c>
      <c r="L23" s="24">
        <f>SUM(K20:K23)</f>
        <v>342</v>
      </c>
      <c r="M23" s="24"/>
      <c r="N23" s="24">
        <f>-(J23-G23-F23)+N22</f>
        <v>10655</v>
      </c>
      <c r="O23" s="24"/>
      <c r="P23" s="24">
        <f>1+P22</f>
        <v>20</v>
      </c>
    </row>
    <row r="24" ht="20.05" customHeight="1">
      <c r="B24" s="35">
        <v>2020</v>
      </c>
      <c r="C24" s="34">
        <v>6957</v>
      </c>
      <c r="D24" s="24">
        <v>4759</v>
      </c>
      <c r="E24" s="24">
        <v>-915</v>
      </c>
      <c r="F24" s="24">
        <f>-167-30-75</f>
        <v>-272</v>
      </c>
      <c r="G24" s="24">
        <v>-2313</v>
      </c>
      <c r="H24" s="24"/>
      <c r="I24" s="24"/>
      <c r="J24" s="24">
        <v>-2546</v>
      </c>
      <c r="K24" s="24">
        <f>F24+D24+E24+G24</f>
        <v>1259</v>
      </c>
      <c r="L24" s="24">
        <f>SUM(K21:K24)</f>
        <v>2309</v>
      </c>
      <c r="M24" s="24"/>
      <c r="N24" s="24">
        <f>-(J24-G24-F24)+N23</f>
        <v>10616</v>
      </c>
      <c r="O24" s="24"/>
      <c r="P24" s="24">
        <f>1+P23</f>
        <v>21</v>
      </c>
    </row>
    <row r="25" ht="20.05" customHeight="1">
      <c r="B25" s="33"/>
      <c r="C25" s="34">
        <v>6518</v>
      </c>
      <c r="D25" s="24">
        <f>9186-D24</f>
        <v>4427</v>
      </c>
      <c r="E25" s="24">
        <f>-2393-E24</f>
        <v>-1478</v>
      </c>
      <c r="F25" s="24">
        <f>-327-53-142-F24</f>
        <v>-250</v>
      </c>
      <c r="G25" s="24">
        <v>-1137</v>
      </c>
      <c r="H25" s="24"/>
      <c r="I25" s="24"/>
      <c r="J25" s="24">
        <f>-4131-J24</f>
        <v>-1585</v>
      </c>
      <c r="K25" s="24">
        <f>F25+D25+E25+G25</f>
        <v>1562</v>
      </c>
      <c r="L25" s="24">
        <f>SUM(K22:K25)</f>
        <v>2955</v>
      </c>
      <c r="M25" s="24"/>
      <c r="N25" s="24">
        <f>-(J25-G25-F25)+N24</f>
        <v>10814</v>
      </c>
      <c r="O25" s="24"/>
      <c r="P25" s="24">
        <f>1+P24</f>
        <v>22</v>
      </c>
    </row>
    <row r="26" ht="20.05" customHeight="1">
      <c r="B26" s="33"/>
      <c r="C26" s="34">
        <f>20062-SUM(C24:C25)</f>
        <v>6587</v>
      </c>
      <c r="D26" s="24">
        <f>12900-SUM(D24:D25)</f>
        <v>3714</v>
      </c>
      <c r="E26" s="24">
        <f>-3901-SUM(E24:E25)</f>
        <v>-1508</v>
      </c>
      <c r="F26" s="24">
        <f>-76-201-476-SUM(F24:F25)</f>
        <v>-231</v>
      </c>
      <c r="G26" s="24">
        <v>-380</v>
      </c>
      <c r="H26" s="24"/>
      <c r="I26" s="24"/>
      <c r="J26" s="24">
        <f>-7570-SUM(J24:J25)</f>
        <v>-3439</v>
      </c>
      <c r="K26" s="24">
        <f>F26+D26+E26+G26</f>
        <v>1595</v>
      </c>
      <c r="L26" s="24">
        <f>SUM(K23:K26)</f>
        <v>5117</v>
      </c>
      <c r="M26" s="24"/>
      <c r="N26" s="24">
        <f>-(J26-G26-F26)+N25</f>
        <v>13642</v>
      </c>
      <c r="O26" s="24"/>
      <c r="P26" s="24">
        <f>1+P25</f>
        <v>23</v>
      </c>
    </row>
    <row r="27" ht="20.05" customHeight="1">
      <c r="B27" s="33"/>
      <c r="C27" s="34">
        <v>6381.5</v>
      </c>
      <c r="D27" s="24">
        <v>1049.6</v>
      </c>
      <c r="E27" s="24">
        <v>-1596.9</v>
      </c>
      <c r="F27" s="24">
        <v>-151.3</v>
      </c>
      <c r="G27" s="24">
        <f>-4294.6-SUM(G24:G26)</f>
        <v>-464.6</v>
      </c>
      <c r="H27" s="24"/>
      <c r="I27" s="24"/>
      <c r="J27" s="24">
        <v>479.4</v>
      </c>
      <c r="K27" s="24">
        <f>F27+D27+E27+G27</f>
        <v>-1163.2</v>
      </c>
      <c r="L27" s="24">
        <f>SUM(K24:K27)</f>
        <v>3252.8</v>
      </c>
      <c r="M27" s="24"/>
      <c r="N27" s="24">
        <f>-(J27-G27-F27)+N26</f>
        <v>12546.7</v>
      </c>
      <c r="O27" s="24"/>
      <c r="P27" s="24">
        <f>1+P26</f>
        <v>24</v>
      </c>
    </row>
    <row r="28" ht="20.05" customHeight="1">
      <c r="B28" s="35">
        <v>2021</v>
      </c>
      <c r="C28" s="34">
        <v>5374</v>
      </c>
      <c r="D28" s="24">
        <v>2640</v>
      </c>
      <c r="E28" s="24">
        <v>-1690</v>
      </c>
      <c r="F28" s="24">
        <f>-85-23-50.245</f>
        <v>-158.245</v>
      </c>
      <c r="G28" s="24">
        <v>-1942</v>
      </c>
      <c r="H28" s="24">
        <f>-2399.963-G28-F28</f>
        <v>-299.718</v>
      </c>
      <c r="I28" s="24"/>
      <c r="J28" s="24">
        <v>-2400</v>
      </c>
      <c r="K28" s="24">
        <f>F28+D28+E28+G28</f>
        <v>-1150.245</v>
      </c>
      <c r="L28" s="24">
        <f>SUM(K25:K28)</f>
        <v>843.5549999999999</v>
      </c>
      <c r="M28" s="24"/>
      <c r="N28" s="24">
        <f>-(H28+I28)+N27</f>
        <v>12846.418</v>
      </c>
      <c r="O28" s="24"/>
      <c r="P28" s="24">
        <f>1+P27</f>
        <v>25</v>
      </c>
    </row>
    <row r="29" ht="20.05" customHeight="1">
      <c r="B29" s="33"/>
      <c r="C29" s="34">
        <f>11852-C28</f>
        <v>6478</v>
      </c>
      <c r="D29" s="24">
        <f>6204.2-D28</f>
        <v>3564.2</v>
      </c>
      <c r="E29" s="24">
        <f>-3804.1-E28</f>
        <v>-2114.1</v>
      </c>
      <c r="F29" s="24">
        <f>-163.8-46.2-100.5-F28</f>
        <v>-152.255</v>
      </c>
      <c r="G29" s="24">
        <f>-2454.5-1061.8-G28</f>
        <v>-1574.3</v>
      </c>
      <c r="H29" s="24">
        <f>-2961.16-I29-I28-H28-G29-G28-F29-F28</f>
        <v>1447.497</v>
      </c>
      <c r="I29" s="24">
        <v>-282.139</v>
      </c>
      <c r="J29" s="24">
        <f>-2961.2-J28</f>
        <v>-561.2</v>
      </c>
      <c r="K29" s="24">
        <f>F29+D29+E29+G29</f>
        <v>-276.455</v>
      </c>
      <c r="L29" s="24">
        <f>SUM(K26:K29)</f>
        <v>-994.9</v>
      </c>
      <c r="M29" s="24"/>
      <c r="N29" s="24">
        <f>-(H29+I29)+N28</f>
        <v>11681.06</v>
      </c>
      <c r="O29" s="24"/>
      <c r="P29" s="24">
        <f>1+P28</f>
        <v>26</v>
      </c>
    </row>
    <row r="30" ht="20.05" customHeight="1">
      <c r="B30" s="33"/>
      <c r="C30" s="34">
        <f>18730.5-SUM(C28:C29)</f>
        <v>6878.5</v>
      </c>
      <c r="D30" s="24">
        <f>10331.4-SUM(D28:D29)</f>
        <v>4127.2</v>
      </c>
      <c r="E30" s="24">
        <f>-5375-SUM(E28:E29)</f>
        <v>-1570.9</v>
      </c>
      <c r="F30" s="24">
        <f>-69.3-150.7-261.4-SUM(F28:F29)</f>
        <v>-170.9</v>
      </c>
      <c r="G30" s="24">
        <f>-3003.2-1427.7-SUM(G28:G29)</f>
        <v>-914.6</v>
      </c>
      <c r="H30" s="24">
        <f>-4252.76-I30-I29-I28-H29-H28-G30-G29-G28-F30-F29-F28</f>
        <v>-150.057</v>
      </c>
      <c r="I30" s="24">
        <f>-338.182-I29</f>
        <v>-56.043</v>
      </c>
      <c r="J30" s="24">
        <f>-4252.8-SUM(J28:J29)</f>
        <v>-1291.6</v>
      </c>
      <c r="K30" s="24">
        <f>F30+D30+E30+G30</f>
        <v>1470.8</v>
      </c>
      <c r="L30" s="24">
        <f>SUM(K27:K30)</f>
        <v>-1119.1</v>
      </c>
      <c r="M30" s="24"/>
      <c r="N30" s="24">
        <f>-(H30+I30)+N29</f>
        <v>11887.16</v>
      </c>
      <c r="O30" s="24"/>
      <c r="P30" s="24">
        <f>1+P29</f>
        <v>27</v>
      </c>
    </row>
    <row r="31" ht="20.05" customHeight="1">
      <c r="B31" s="33"/>
      <c r="C31" s="34">
        <f>25655.3-SUM(C28:C30)</f>
        <v>6924.8</v>
      </c>
      <c r="D31" s="24">
        <f>11962.3-SUM(D28:D30)</f>
        <v>1630.9</v>
      </c>
      <c r="E31" s="24">
        <f>-6931-SUM(E28:E30)</f>
        <v>-1556</v>
      </c>
      <c r="F31" s="24">
        <f>-356.2-201-92.4-SUM(F28:F30)</f>
        <v>-168.2</v>
      </c>
      <c r="G31" s="24">
        <f>-3474.7-1790.1-SUM(G28:G30)</f>
        <v>-833.9</v>
      </c>
      <c r="H31" s="24">
        <f>-730-399-450+2497.7-SUM(H28:H30)</f>
        <v>-79.02200000000001</v>
      </c>
      <c r="I31" s="24">
        <f>-338.2-SUM(I28:I30)</f>
        <v>-0.018</v>
      </c>
      <c r="J31" s="24">
        <f>-5334-SUM(J28:J30)</f>
        <v>-1081.2</v>
      </c>
      <c r="K31" s="24">
        <f>F31+D31+E31+G31</f>
        <v>-927.2</v>
      </c>
      <c r="L31" s="24">
        <f>SUM(K28:K31)</f>
        <v>-883.1</v>
      </c>
      <c r="M31" s="24"/>
      <c r="N31" s="24">
        <f>-(H31+I31)+N30</f>
        <v>11966.2</v>
      </c>
      <c r="O31" s="24"/>
      <c r="P31" s="24">
        <f>1+P30</f>
        <v>28</v>
      </c>
    </row>
    <row r="32" ht="20.05" customHeight="1">
      <c r="B32" s="35">
        <v>2022</v>
      </c>
      <c r="C32" s="34">
        <v>6563</v>
      </c>
      <c r="D32" s="24">
        <v>3669</v>
      </c>
      <c r="E32" s="24">
        <v>-2467.1</v>
      </c>
      <c r="F32" s="24">
        <f>-101-684-13</f>
        <v>-798</v>
      </c>
      <c r="G32" s="24">
        <v>-1512</v>
      </c>
      <c r="H32" s="24">
        <f>-300-41-110-191+500</f>
        <v>-142</v>
      </c>
      <c r="I32" s="24">
        <v>0</v>
      </c>
      <c r="J32" s="24">
        <v>-2452</v>
      </c>
      <c r="K32" s="24">
        <f>F32+D32+E32+G32</f>
        <v>-1108.1</v>
      </c>
      <c r="L32" s="24">
        <f>SUM(K29:K32)</f>
        <v>-840.955</v>
      </c>
      <c r="M32" s="24">
        <v>685.570886186960</v>
      </c>
      <c r="N32" s="24">
        <f>-(H32+I32)+N31</f>
        <v>12108.2</v>
      </c>
      <c r="O32" s="24">
        <v>14211.1948229146</v>
      </c>
      <c r="P32" s="24">
        <f>1+P31</f>
        <v>29</v>
      </c>
    </row>
    <row r="33" ht="20.05" customHeight="1">
      <c r="B33" s="33"/>
      <c r="C33" s="34"/>
      <c r="D33" s="24"/>
      <c r="E33" s="24"/>
      <c r="F33" s="24"/>
      <c r="G33" s="24"/>
      <c r="H33" s="24"/>
      <c r="I33" s="24"/>
      <c r="J33" s="24"/>
      <c r="K33" s="24"/>
      <c r="L33" s="23"/>
      <c r="M33" s="24">
        <f>SUM('Model'!F8:F10)</f>
        <v>609.7165580265601</v>
      </c>
      <c r="N33" s="23"/>
      <c r="O33" s="24">
        <f>'Model'!F33</f>
        <v>14404.8932639326</v>
      </c>
      <c r="P33" s="24"/>
    </row>
  </sheetData>
  <mergeCells count="1">
    <mergeCell ref="B2:P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67188" style="40" customWidth="1"/>
    <col min="2" max="2" width="8.1875" style="40" customWidth="1"/>
    <col min="3" max="5" width="9.75" style="40" customWidth="1"/>
    <col min="6" max="11" width="12.5781" style="40" customWidth="1"/>
    <col min="12" max="16384" width="16.3516" style="40" customWidth="1"/>
  </cols>
  <sheetData>
    <row r="1" ht="38.3" customHeight="1"/>
    <row r="2" ht="27.65" customHeight="1">
      <c r="B2" t="s" s="2">
        <v>53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54</v>
      </c>
      <c r="D3" t="s" s="5">
        <v>55</v>
      </c>
      <c r="E3" t="s" s="5">
        <v>56</v>
      </c>
      <c r="F3" t="s" s="5">
        <v>25</v>
      </c>
      <c r="G3" t="s" s="5">
        <v>12</v>
      </c>
      <c r="H3" t="s" s="5">
        <v>15</v>
      </c>
      <c r="I3" t="s" s="5">
        <v>57</v>
      </c>
      <c r="J3" t="s" s="5">
        <v>58</v>
      </c>
      <c r="K3" t="s" s="5">
        <v>36</v>
      </c>
    </row>
    <row r="4" ht="21.1" customHeight="1">
      <c r="B4" s="28">
        <v>2015</v>
      </c>
      <c r="C4" s="29">
        <v>6853</v>
      </c>
      <c r="D4" s="31">
        <v>63926</v>
      </c>
      <c r="E4" s="31">
        <f>D4-C4</f>
        <v>57073</v>
      </c>
      <c r="F4" s="31">
        <v>36410</v>
      </c>
      <c r="G4" s="31">
        <v>50642</v>
      </c>
      <c r="H4" s="31">
        <v>13283</v>
      </c>
      <c r="I4" s="31">
        <f>G4+H4-C4-E4</f>
        <v>-1</v>
      </c>
      <c r="J4" s="31">
        <f>C4-G4</f>
        <v>-43789</v>
      </c>
      <c r="K4" s="31"/>
    </row>
    <row r="5" ht="21.1" customHeight="1">
      <c r="B5" s="33"/>
      <c r="C5" s="34">
        <v>5500</v>
      </c>
      <c r="D5" s="24">
        <v>62407</v>
      </c>
      <c r="E5" s="24">
        <f>D5-C5</f>
        <v>56907</v>
      </c>
      <c r="F5" s="24">
        <v>37688</v>
      </c>
      <c r="G5" s="24">
        <v>49165</v>
      </c>
      <c r="H5" s="24">
        <v>13242</v>
      </c>
      <c r="I5" s="24">
        <f>G5+H5-C5-E5</f>
        <v>0</v>
      </c>
      <c r="J5" s="24">
        <f>C5-G5</f>
        <v>-43665</v>
      </c>
      <c r="K5" s="24"/>
    </row>
    <row r="6" ht="21.1" customHeight="1">
      <c r="B6" s="33"/>
      <c r="C6" s="34">
        <v>3644</v>
      </c>
      <c r="D6" s="24">
        <v>58865</v>
      </c>
      <c r="E6" s="24">
        <f>D6-C6</f>
        <v>55221</v>
      </c>
      <c r="F6" s="24">
        <v>38802</v>
      </c>
      <c r="G6" s="24">
        <v>45245</v>
      </c>
      <c r="H6" s="24">
        <v>13620</v>
      </c>
      <c r="I6" s="24">
        <f>G6+H6-C6-E6</f>
        <v>0</v>
      </c>
      <c r="J6" s="24">
        <f>C6-G6</f>
        <v>-41601</v>
      </c>
      <c r="K6" s="24"/>
    </row>
    <row r="7" ht="21.1" customHeight="1">
      <c r="B7" s="33"/>
      <c r="C7" s="34">
        <v>3312</v>
      </c>
      <c r="D7" s="24">
        <v>58845</v>
      </c>
      <c r="E7" s="24">
        <f>D7-C7</f>
        <v>55533</v>
      </c>
      <c r="F7" s="24">
        <v>40602</v>
      </c>
      <c r="G7" s="24">
        <v>44752</v>
      </c>
      <c r="H7" s="24">
        <v>14092</v>
      </c>
      <c r="I7" s="24">
        <f>G7+H7-C7-E7</f>
        <v>-1</v>
      </c>
      <c r="J7" s="24">
        <f>C7-G7</f>
        <v>-41440</v>
      </c>
      <c r="K7" s="24"/>
    </row>
    <row r="8" ht="21.1" customHeight="1">
      <c r="B8" s="35">
        <v>2016</v>
      </c>
      <c r="C8" s="34">
        <v>2222</v>
      </c>
      <c r="D8" s="24">
        <v>56021</v>
      </c>
      <c r="E8" s="24">
        <f>D8-C8</f>
        <v>53799</v>
      </c>
      <c r="F8" s="24">
        <v>42069</v>
      </c>
      <c r="G8" s="24">
        <v>41751</v>
      </c>
      <c r="H8" s="24">
        <v>14270</v>
      </c>
      <c r="I8" s="24">
        <f>G8+H8-C8-E8</f>
        <v>0</v>
      </c>
      <c r="J8" s="24">
        <f>C8-G8</f>
        <v>-39529</v>
      </c>
      <c r="K8" s="24"/>
    </row>
    <row r="9" ht="20.9" customHeight="1">
      <c r="B9" s="33"/>
      <c r="C9" s="34">
        <v>6216</v>
      </c>
      <c r="D9" s="24">
        <v>58774</v>
      </c>
      <c r="E9" s="24">
        <f>D9-C9</f>
        <v>52558</v>
      </c>
      <c r="F9" s="24">
        <v>43782</v>
      </c>
      <c r="G9" s="24">
        <v>37756</v>
      </c>
      <c r="H9" s="24">
        <v>21018</v>
      </c>
      <c r="I9" s="24">
        <f>G9+H9-C9-E9</f>
        <v>0</v>
      </c>
      <c r="J9" s="24">
        <f>C9-G9</f>
        <v>-31540</v>
      </c>
      <c r="K9" s="24"/>
    </row>
    <row r="10" ht="20.9" customHeight="1">
      <c r="B10" s="33"/>
      <c r="C10" s="34">
        <v>3343</v>
      </c>
      <c r="D10" s="24">
        <v>54544</v>
      </c>
      <c r="E10" s="24">
        <f>D10-C10</f>
        <v>51201</v>
      </c>
      <c r="F10" s="24">
        <v>45476</v>
      </c>
      <c r="G10" s="24">
        <v>33599</v>
      </c>
      <c r="H10" s="24">
        <v>20945</v>
      </c>
      <c r="I10" s="24">
        <f>G10+H10-C10-E10</f>
        <v>0</v>
      </c>
      <c r="J10" s="24">
        <f>C10-G10</f>
        <v>-30256</v>
      </c>
      <c r="K10" s="24"/>
    </row>
    <row r="11" ht="20.9" customHeight="1">
      <c r="B11" s="33"/>
      <c r="C11" s="34">
        <v>1399</v>
      </c>
      <c r="D11" s="24">
        <v>54895</v>
      </c>
      <c r="E11" s="24">
        <f>D11-C11</f>
        <v>53496</v>
      </c>
      <c r="F11" s="24">
        <v>47666</v>
      </c>
      <c r="G11" s="24">
        <v>33687</v>
      </c>
      <c r="H11" s="24">
        <v>21209</v>
      </c>
      <c r="I11" s="24">
        <f>G11+H11-C11-E11</f>
        <v>1</v>
      </c>
      <c r="J11" s="24">
        <f>C11-G11</f>
        <v>-32288</v>
      </c>
      <c r="K11" s="24"/>
    </row>
    <row r="12" ht="20.9" customHeight="1">
      <c r="B12" s="35">
        <v>2017</v>
      </c>
      <c r="C12" s="34">
        <v>1730</v>
      </c>
      <c r="D12" s="24">
        <v>54376</v>
      </c>
      <c r="E12" s="24">
        <f>D12-C12</f>
        <v>52646</v>
      </c>
      <c r="F12" s="24">
        <v>49094</v>
      </c>
      <c r="G12" s="24">
        <v>33119</v>
      </c>
      <c r="H12" s="24">
        <v>21256</v>
      </c>
      <c r="I12" s="24">
        <f>G12+H12-C12-E12</f>
        <v>-1</v>
      </c>
      <c r="J12" s="24">
        <f>C12-G12</f>
        <v>-31389</v>
      </c>
      <c r="K12" s="24"/>
    </row>
    <row r="13" ht="20.9" customHeight="1">
      <c r="B13" s="33"/>
      <c r="C13" s="34">
        <v>1943</v>
      </c>
      <c r="D13" s="24">
        <v>54751</v>
      </c>
      <c r="E13" s="24">
        <f>D13-C13</f>
        <v>52808</v>
      </c>
      <c r="F13" s="24">
        <v>50734</v>
      </c>
      <c r="G13" s="24">
        <v>33378</v>
      </c>
      <c r="H13" s="24">
        <v>21373</v>
      </c>
      <c r="I13" s="24">
        <f>G13+H13-C13-E13</f>
        <v>0</v>
      </c>
      <c r="J13" s="24">
        <f>C13-G13</f>
        <v>-31435</v>
      </c>
      <c r="K13" s="24"/>
    </row>
    <row r="14" ht="20.9" customHeight="1">
      <c r="B14" s="33"/>
      <c r="C14" s="34">
        <v>1299</v>
      </c>
      <c r="D14" s="24">
        <v>53193</v>
      </c>
      <c r="E14" s="24">
        <f>D14-C14</f>
        <v>51894</v>
      </c>
      <c r="F14" s="24">
        <v>52370</v>
      </c>
      <c r="G14" s="24">
        <v>31696</v>
      </c>
      <c r="H14" s="24">
        <v>21497</v>
      </c>
      <c r="I14" s="24">
        <f>G14+H14-C14-E14</f>
        <v>0</v>
      </c>
      <c r="J14" s="24">
        <f>C14-G14</f>
        <v>-30397</v>
      </c>
      <c r="K14" s="24"/>
    </row>
    <row r="15" ht="20.9" customHeight="1">
      <c r="B15" s="33"/>
      <c r="C15" s="34">
        <v>2455</v>
      </c>
      <c r="D15" s="24">
        <v>56322</v>
      </c>
      <c r="E15" s="24">
        <f>D15-C15</f>
        <v>53867</v>
      </c>
      <c r="F15" s="24">
        <v>53833</v>
      </c>
      <c r="G15" s="24">
        <v>34691</v>
      </c>
      <c r="H15" s="24">
        <v>21631</v>
      </c>
      <c r="I15" s="24">
        <f>G15+H15-C15-E15</f>
        <v>0</v>
      </c>
      <c r="J15" s="24">
        <f>C15-G15</f>
        <v>-32236</v>
      </c>
      <c r="K15" s="24"/>
    </row>
    <row r="16" ht="20.9" customHeight="1">
      <c r="B16" s="35">
        <v>2018</v>
      </c>
      <c r="C16" s="34">
        <v>3289</v>
      </c>
      <c r="D16" s="24">
        <v>57210</v>
      </c>
      <c r="E16" s="24">
        <f>D16-C16</f>
        <v>53921</v>
      </c>
      <c r="F16" s="24">
        <v>55485</v>
      </c>
      <c r="G16" s="24">
        <v>35571</v>
      </c>
      <c r="H16" s="24">
        <v>21639</v>
      </c>
      <c r="I16" s="24">
        <f>G16+H16-C16-E16</f>
        <v>0</v>
      </c>
      <c r="J16" s="24">
        <f>C16-G16</f>
        <v>-32282</v>
      </c>
      <c r="K16" s="24"/>
    </row>
    <row r="17" ht="20.9" customHeight="1">
      <c r="B17" s="33"/>
      <c r="C17" s="34">
        <v>2093</v>
      </c>
      <c r="D17" s="24">
        <v>56378</v>
      </c>
      <c r="E17" s="24">
        <f>D17-C17</f>
        <v>54285</v>
      </c>
      <c r="F17" s="24">
        <v>57156</v>
      </c>
      <c r="G17" s="24">
        <v>34831</v>
      </c>
      <c r="H17" s="24">
        <v>21546</v>
      </c>
      <c r="I17" s="24">
        <f>G17+H17-C17-E17</f>
        <v>-1</v>
      </c>
      <c r="J17" s="24">
        <f>C17-G17</f>
        <v>-32738</v>
      </c>
      <c r="K17" s="24"/>
    </row>
    <row r="18" ht="20.9" customHeight="1">
      <c r="B18" s="33"/>
      <c r="C18" s="34">
        <v>2398</v>
      </c>
      <c r="D18" s="24">
        <v>59903</v>
      </c>
      <c r="E18" s="24">
        <f>D18-C18</f>
        <v>57505</v>
      </c>
      <c r="F18" s="24">
        <v>58918</v>
      </c>
      <c r="G18" s="24">
        <v>38420</v>
      </c>
      <c r="H18" s="24">
        <v>21483</v>
      </c>
      <c r="I18" s="24">
        <f>G18+H18-C18-E18</f>
        <v>0</v>
      </c>
      <c r="J18" s="24">
        <f>C18-G18</f>
        <v>-36022</v>
      </c>
      <c r="K18" s="24"/>
    </row>
    <row r="19" ht="20.9" customHeight="1">
      <c r="B19" s="33"/>
      <c r="C19" s="34">
        <v>1047</v>
      </c>
      <c r="D19" s="24">
        <v>57614</v>
      </c>
      <c r="E19" s="24">
        <f>D19-C19</f>
        <v>56567</v>
      </c>
      <c r="F19" s="24">
        <v>64893</v>
      </c>
      <c r="G19" s="24">
        <v>39271</v>
      </c>
      <c r="H19" s="24">
        <v>18343</v>
      </c>
      <c r="I19" s="24">
        <f>G19+H19-C19-E19</f>
        <v>0</v>
      </c>
      <c r="J19" s="24">
        <f>C19-G19</f>
        <v>-38224</v>
      </c>
      <c r="K19" s="24"/>
    </row>
    <row r="20" ht="20.9" customHeight="1">
      <c r="B20" s="35">
        <v>2019</v>
      </c>
      <c r="C20" s="34">
        <v>1597</v>
      </c>
      <c r="D20" s="24">
        <v>57363</v>
      </c>
      <c r="E20" s="24">
        <f>D20-C20</f>
        <v>55766</v>
      </c>
      <c r="F20" s="24">
        <v>66621</v>
      </c>
      <c r="G20" s="24">
        <v>38952</v>
      </c>
      <c r="H20" s="24">
        <v>18411</v>
      </c>
      <c r="I20" s="24">
        <f>G20+H20-C20-E20</f>
        <v>0</v>
      </c>
      <c r="J20" s="24">
        <f>C20-G20</f>
        <v>-37355</v>
      </c>
      <c r="K20" s="24"/>
    </row>
    <row r="21" ht="20.9" customHeight="1">
      <c r="B21" s="33"/>
      <c r="C21" s="34">
        <v>2208</v>
      </c>
      <c r="D21" s="24">
        <v>58379</v>
      </c>
      <c r="E21" s="24">
        <f>D21-C21</f>
        <v>56171</v>
      </c>
      <c r="F21" s="24">
        <v>65000</v>
      </c>
      <c r="G21" s="24">
        <v>39717</v>
      </c>
      <c r="H21" s="24">
        <v>18662</v>
      </c>
      <c r="I21" s="24">
        <f>G21+H21-C21-E21</f>
        <v>0</v>
      </c>
      <c r="J21" s="24">
        <f>C21-G21</f>
        <v>-37509</v>
      </c>
      <c r="K21" s="24"/>
    </row>
    <row r="22" ht="20.9" customHeight="1">
      <c r="B22" s="33"/>
      <c r="C22" s="34">
        <v>1496</v>
      </c>
      <c r="D22" s="24">
        <v>60966</v>
      </c>
      <c r="E22" s="24">
        <f>D22-C22</f>
        <v>59470</v>
      </c>
      <c r="F22" s="24">
        <v>66401</v>
      </c>
      <c r="G22" s="24">
        <v>42067</v>
      </c>
      <c r="H22" s="24">
        <v>18899</v>
      </c>
      <c r="I22" s="24">
        <f>G22+H22-C22-E22</f>
        <v>0</v>
      </c>
      <c r="J22" s="24">
        <f>C22-G22</f>
        <v>-40571</v>
      </c>
      <c r="K22" s="24"/>
    </row>
    <row r="23" ht="20.9" customHeight="1">
      <c r="B23" s="33"/>
      <c r="C23" s="34">
        <v>1603</v>
      </c>
      <c r="D23" s="24">
        <v>62726</v>
      </c>
      <c r="E23" s="24">
        <f>D23-C23</f>
        <v>61123</v>
      </c>
      <c r="F23" s="24">
        <f>71255+1900+303</f>
        <v>73458</v>
      </c>
      <c r="G23" s="24">
        <v>43604</v>
      </c>
      <c r="H23" s="24">
        <v>19122</v>
      </c>
      <c r="I23" s="24">
        <f>G23+H23-C23-E23</f>
        <v>0</v>
      </c>
      <c r="J23" s="24">
        <f>C23-G23</f>
        <v>-42001</v>
      </c>
      <c r="K23" s="24"/>
    </row>
    <row r="24" ht="20.9" customHeight="1">
      <c r="B24" s="35">
        <v>2020</v>
      </c>
      <c r="C24" s="34">
        <v>2982</v>
      </c>
      <c r="D24" s="24">
        <v>71512</v>
      </c>
      <c r="E24" s="24">
        <f>D24-C24</f>
        <v>68530</v>
      </c>
      <c r="F24" s="24">
        <f>1909+73436+255</f>
        <v>75600</v>
      </c>
      <c r="G24" s="24">
        <v>50864</v>
      </c>
      <c r="H24" s="24">
        <v>20648</v>
      </c>
      <c r="I24" s="24">
        <f>G24+H24-C24-E24</f>
        <v>0</v>
      </c>
      <c r="J24" s="24">
        <f>C24-G24</f>
        <v>-47882</v>
      </c>
      <c r="K24" s="24"/>
    </row>
    <row r="25" ht="20.9" customHeight="1">
      <c r="B25" s="33"/>
      <c r="C25" s="34">
        <v>4274</v>
      </c>
      <c r="D25" s="24">
        <v>69655</v>
      </c>
      <c r="E25" s="24">
        <f>D25-C25</f>
        <v>65381</v>
      </c>
      <c r="F25" s="24">
        <v>75858</v>
      </c>
      <c r="G25" s="24">
        <v>49136</v>
      </c>
      <c r="H25" s="24">
        <v>20519</v>
      </c>
      <c r="I25" s="24">
        <f>G25+H25-C25-E25</f>
        <v>0</v>
      </c>
      <c r="J25" s="24">
        <f>C25-G25</f>
        <v>-44862</v>
      </c>
      <c r="K25" s="24"/>
    </row>
    <row r="26" ht="20.9" customHeight="1">
      <c r="B26" s="33"/>
      <c r="C26" s="34">
        <v>3052</v>
      </c>
      <c r="D26" s="24">
        <v>68396</v>
      </c>
      <c r="E26" s="24">
        <f>D26-C26</f>
        <v>65344</v>
      </c>
      <c r="F26" s="24">
        <f>78216+1932</f>
        <v>80148</v>
      </c>
      <c r="G26" s="24">
        <v>47525</v>
      </c>
      <c r="H26" s="24">
        <v>20871</v>
      </c>
      <c r="I26" s="24">
        <f>G26+H26-C26-E26</f>
        <v>0</v>
      </c>
      <c r="J26" s="24">
        <f>C26-G26</f>
        <v>-44473</v>
      </c>
      <c r="K26" s="24"/>
    </row>
    <row r="27" ht="20.9" customHeight="1">
      <c r="B27" s="33"/>
      <c r="C27" s="34">
        <v>2966</v>
      </c>
      <c r="D27" s="24">
        <v>67745</v>
      </c>
      <c r="E27" s="24">
        <f>D27-C27</f>
        <v>64779</v>
      </c>
      <c r="F27" s="24">
        <f>1934+83003</f>
        <v>84937</v>
      </c>
      <c r="G27" s="24">
        <v>48608</v>
      </c>
      <c r="H27" s="24">
        <v>19137</v>
      </c>
      <c r="I27" s="24">
        <f>G27+H27-C27-E27</f>
        <v>0</v>
      </c>
      <c r="J27" s="24">
        <f>C27-G27</f>
        <v>-45642</v>
      </c>
      <c r="K27" s="24"/>
    </row>
    <row r="28" ht="20.9" customHeight="1">
      <c r="B28" s="35">
        <v>2021</v>
      </c>
      <c r="C28" s="34">
        <v>1516</v>
      </c>
      <c r="D28" s="24">
        <v>65932</v>
      </c>
      <c r="E28" s="24">
        <f>D28-C28</f>
        <v>64416</v>
      </c>
      <c r="F28" s="24">
        <f>61+85377+1936</f>
        <v>87374</v>
      </c>
      <c r="G28" s="24">
        <f>19290+27172</f>
        <v>46462</v>
      </c>
      <c r="H28" s="24">
        <v>19470</v>
      </c>
      <c r="I28" s="24">
        <f>G28+H28-C28-E28</f>
        <v>0</v>
      </c>
      <c r="J28" s="24">
        <f>C28-G28</f>
        <v>-44946</v>
      </c>
      <c r="K28" s="24"/>
    </row>
    <row r="29" ht="20.9" customHeight="1">
      <c r="B29" s="33"/>
      <c r="C29" s="34">
        <v>2406</v>
      </c>
      <c r="D29" s="24">
        <v>67490</v>
      </c>
      <c r="E29" s="24">
        <f>D29-C29</f>
        <v>65084</v>
      </c>
      <c r="F29" s="24">
        <f>87539+1937+71</f>
        <v>89547</v>
      </c>
      <c r="G29" s="24">
        <f>18811+29152</f>
        <v>47963</v>
      </c>
      <c r="H29" s="24">
        <v>19527</v>
      </c>
      <c r="I29" s="24">
        <f>G29+H29-C29-E29</f>
        <v>0</v>
      </c>
      <c r="J29" s="24">
        <f>C29-G29</f>
        <v>-45557</v>
      </c>
      <c r="K29" s="24"/>
    </row>
    <row r="30" ht="20.9" customHeight="1">
      <c r="B30" s="33"/>
      <c r="C30" s="34">
        <v>3670</v>
      </c>
      <c r="D30" s="24">
        <v>68585</v>
      </c>
      <c r="E30" s="24">
        <f>D30-C30</f>
        <v>64915</v>
      </c>
      <c r="F30" s="24">
        <f>89694+1938</f>
        <v>91632</v>
      </c>
      <c r="G30" s="24">
        <f>29955+18808</f>
        <v>48763</v>
      </c>
      <c r="H30" s="24">
        <v>19822</v>
      </c>
      <c r="I30" s="24">
        <f>G30+H30-C30-E30</f>
        <v>0</v>
      </c>
      <c r="J30" s="24">
        <f>C30-G30</f>
        <v>-45093</v>
      </c>
      <c r="K30" s="24"/>
    </row>
    <row r="31" ht="20.9" customHeight="1">
      <c r="B31" s="33"/>
      <c r="C31" s="34">
        <v>2664</v>
      </c>
      <c r="D31" s="24">
        <v>72753</v>
      </c>
      <c r="E31" s="24">
        <f>D31-C31</f>
        <v>70089</v>
      </c>
      <c r="F31" s="24">
        <f>92014.9+1938.5</f>
        <v>93953.399999999994</v>
      </c>
      <c r="G31" s="24">
        <f>20954+31710</f>
        <v>52664</v>
      </c>
      <c r="H31" s="24">
        <v>20089</v>
      </c>
      <c r="I31" s="24">
        <f>G31+H31-C31-E31</f>
        <v>0</v>
      </c>
      <c r="J31" s="24">
        <f>C31-G31</f>
        <v>-50000</v>
      </c>
      <c r="K31" s="24"/>
    </row>
    <row r="32" ht="20.9" customHeight="1">
      <c r="B32" s="35">
        <v>2022</v>
      </c>
      <c r="C32" s="34">
        <f>C31+'Cashflow'!D32+'Cashflow'!E32+'Cashflow'!J32</f>
        <v>1413.9</v>
      </c>
      <c r="D32" s="24">
        <v>71841</v>
      </c>
      <c r="E32" s="24">
        <f>D32-C32</f>
        <v>70427.100000000006</v>
      </c>
      <c r="F32" s="41">
        <f>F31+'Sales'!E32</f>
        <v>96514.399999999994</v>
      </c>
      <c r="G32" s="24">
        <f>21427+30176</f>
        <v>51603</v>
      </c>
      <c r="H32" s="24">
        <f>D32-G32</f>
        <v>20238</v>
      </c>
      <c r="I32" s="24">
        <f>G32+H32-C32-E32</f>
        <v>0</v>
      </c>
      <c r="J32" s="24">
        <f>C32-G32</f>
        <v>-50189.1</v>
      </c>
      <c r="K32" s="24">
        <v>-44921.4236239598</v>
      </c>
    </row>
    <row r="33" ht="20.9" customHeight="1">
      <c r="B33" s="33"/>
      <c r="C33" s="34"/>
      <c r="D33" s="24"/>
      <c r="E33" s="24">
        <f>D33-C33</f>
        <v>0</v>
      </c>
      <c r="F33" s="24"/>
      <c r="G33" s="24"/>
      <c r="H33" s="24"/>
      <c r="I33" s="24"/>
      <c r="J33" s="24"/>
      <c r="K33" s="24">
        <f>'Model'!F31</f>
        <v>-45040.4947152472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/>
  </sheetViews>
  <sheetFormatPr defaultColWidth="8.33333" defaultRowHeight="19.9" customHeight="1" outlineLevelRow="0" outlineLevelCol="0"/>
  <cols>
    <col min="1" max="1" width="10.9297" style="42" customWidth="1"/>
    <col min="2" max="2" width="7.07031" style="42" customWidth="1"/>
    <col min="3" max="3" width="10.4844" style="42" customWidth="1"/>
    <col min="4" max="5" width="10.2812" style="42" customWidth="1"/>
    <col min="6" max="16384" width="8.35156" style="42" customWidth="1"/>
  </cols>
  <sheetData>
    <row r="1" ht="20.95" customHeight="1"/>
    <row r="2" ht="27.65" customHeight="1">
      <c r="B2" t="s" s="2">
        <v>59</v>
      </c>
      <c r="C2" s="2"/>
      <c r="D2" s="2"/>
      <c r="E2" s="2"/>
    </row>
    <row r="3" ht="20.25" customHeight="1">
      <c r="B3" s="43"/>
      <c r="C3" t="s" s="44">
        <v>60</v>
      </c>
      <c r="D3" t="s" s="44">
        <v>39</v>
      </c>
      <c r="E3" t="s" s="44">
        <v>61</v>
      </c>
    </row>
    <row r="4" ht="20.25" customHeight="1">
      <c r="B4" s="45">
        <v>2018</v>
      </c>
      <c r="C4" s="46">
        <v>2520</v>
      </c>
      <c r="D4" s="47"/>
      <c r="E4" s="47"/>
    </row>
    <row r="5" ht="20.05" customHeight="1">
      <c r="B5" s="48"/>
      <c r="C5" s="49">
        <v>2520</v>
      </c>
      <c r="D5" s="50"/>
      <c r="E5" s="50"/>
    </row>
    <row r="6" ht="20.05" customHeight="1">
      <c r="B6" s="48"/>
      <c r="C6" s="49">
        <v>2760</v>
      </c>
      <c r="D6" s="50"/>
      <c r="E6" s="50"/>
    </row>
    <row r="7" ht="20.05" customHeight="1">
      <c r="B7" s="48"/>
      <c r="C7" s="49">
        <v>1980</v>
      </c>
      <c r="D7" s="50"/>
      <c r="E7" s="50"/>
    </row>
    <row r="8" ht="20.05" customHeight="1">
      <c r="B8" s="51">
        <v>2019</v>
      </c>
      <c r="C8" s="49">
        <v>2700</v>
      </c>
      <c r="D8" s="50"/>
      <c r="E8" s="50"/>
    </row>
    <row r="9" ht="20.05" customHeight="1">
      <c r="B9" s="48"/>
      <c r="C9" s="49">
        <v>2980</v>
      </c>
      <c r="D9" s="50"/>
      <c r="E9" s="50"/>
    </row>
    <row r="10" ht="20.05" customHeight="1">
      <c r="B10" s="48"/>
      <c r="C10" s="49">
        <v>3440</v>
      </c>
      <c r="D10" s="50"/>
      <c r="E10" s="50"/>
    </row>
    <row r="11" ht="20.05" customHeight="1">
      <c r="B11" s="48"/>
      <c r="C11" s="49">
        <v>3150</v>
      </c>
      <c r="D11" s="52"/>
      <c r="E11" s="52"/>
    </row>
    <row r="12" ht="20.05" customHeight="1">
      <c r="B12" s="51">
        <v>2020</v>
      </c>
      <c r="C12" s="49">
        <v>2000</v>
      </c>
      <c r="D12" s="52"/>
      <c r="E12" s="52"/>
    </row>
    <row r="13" ht="20.05" customHeight="1">
      <c r="B13" s="48"/>
      <c r="C13" s="49">
        <v>2770</v>
      </c>
      <c r="D13" s="52"/>
      <c r="E13" s="52"/>
    </row>
    <row r="14" ht="20.05" customHeight="1">
      <c r="B14" s="48"/>
      <c r="C14" s="49">
        <v>2030</v>
      </c>
      <c r="D14" s="52"/>
      <c r="E14" s="52"/>
    </row>
    <row r="15" ht="20.05" customHeight="1">
      <c r="B15" s="48"/>
      <c r="C15" s="49">
        <v>2730</v>
      </c>
      <c r="D15" s="52"/>
      <c r="E15" s="52"/>
    </row>
    <row r="16" ht="20.05" customHeight="1">
      <c r="B16" s="51">
        <v>2021</v>
      </c>
      <c r="C16" s="49">
        <v>2090</v>
      </c>
      <c r="D16" s="52"/>
      <c r="E16" s="52"/>
    </row>
    <row r="17" ht="20.05" customHeight="1">
      <c r="B17" s="48"/>
      <c r="C17" s="49">
        <v>2640</v>
      </c>
      <c r="D17" s="52"/>
      <c r="E17" s="52"/>
    </row>
    <row r="18" ht="20.05" customHeight="1">
      <c r="B18" s="48"/>
      <c r="C18" s="49">
        <v>3040</v>
      </c>
      <c r="D18" s="52"/>
      <c r="E18" s="52"/>
    </row>
    <row r="19" ht="20.05" customHeight="1">
      <c r="B19" s="48"/>
      <c r="C19" s="49">
        <v>3170</v>
      </c>
      <c r="D19" s="52"/>
      <c r="E19" s="52"/>
    </row>
    <row r="20" ht="20.05" customHeight="1">
      <c r="B20" s="51">
        <v>2022</v>
      </c>
      <c r="C20" s="49">
        <v>2680</v>
      </c>
      <c r="D20" s="52"/>
      <c r="E20" s="52"/>
    </row>
    <row r="21" ht="20.05" customHeight="1">
      <c r="B21" s="48"/>
      <c r="C21" s="49">
        <v>3040</v>
      </c>
      <c r="D21" s="50">
        <v>3577.446324878870</v>
      </c>
      <c r="E21" s="52"/>
    </row>
    <row r="22" ht="20.05" customHeight="1">
      <c r="B22" s="48"/>
      <c r="C22" s="49"/>
      <c r="D22" s="50">
        <f>'Model'!F44</f>
        <v>3229.260715552780</v>
      </c>
      <c r="E22" s="5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Q4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1.7422" style="53" customWidth="1"/>
    <col min="9" max="17" width="11.375" style="54" customWidth="1"/>
    <col min="18" max="16384" width="16.3516" style="54" customWidth="1"/>
  </cols>
  <sheetData>
    <row r="1" ht="27.65" customHeight="1">
      <c r="A1" t="s" s="2">
        <v>62</v>
      </c>
      <c r="B1" s="2"/>
      <c r="C1" s="2"/>
      <c r="D1" s="2"/>
      <c r="E1" s="2"/>
      <c r="F1" s="2"/>
      <c r="G1" s="2"/>
      <c r="H1" s="2"/>
    </row>
    <row r="2" ht="20.25" customHeight="1">
      <c r="A2" t="s" s="5">
        <v>1</v>
      </c>
      <c r="B2" t="s" s="5">
        <v>12</v>
      </c>
      <c r="C2" t="s" s="5">
        <v>15</v>
      </c>
      <c r="D2" t="s" s="5">
        <v>63</v>
      </c>
      <c r="E2" t="s" s="5">
        <v>12</v>
      </c>
      <c r="F2" t="s" s="5">
        <v>15</v>
      </c>
      <c r="G2" t="s" s="5">
        <v>63</v>
      </c>
      <c r="H2" s="4"/>
    </row>
    <row r="3" ht="20.25" customHeight="1">
      <c r="A3" s="28">
        <v>2004</v>
      </c>
      <c r="B3" s="29">
        <f>2948-48-2471</f>
        <v>429</v>
      </c>
      <c r="C3" s="31"/>
      <c r="D3" s="31">
        <f>B3+C3</f>
        <v>429</v>
      </c>
      <c r="E3" s="31">
        <f>B3</f>
        <v>429</v>
      </c>
      <c r="F3" s="31">
        <f>C3</f>
        <v>0</v>
      </c>
      <c r="G3" s="31">
        <f>D3</f>
        <v>429</v>
      </c>
      <c r="H3" s="8"/>
    </row>
    <row r="4" ht="20.05" customHeight="1">
      <c r="A4" s="35">
        <f>1+$A3</f>
        <v>2005</v>
      </c>
      <c r="B4" s="34">
        <f>1451-775-1313</f>
        <v>-637</v>
      </c>
      <c r="C4" s="24">
        <f>2868-45</f>
        <v>2823</v>
      </c>
      <c r="D4" s="24">
        <f>B4+C4</f>
        <v>2186</v>
      </c>
      <c r="E4" s="24">
        <f>B4+E3</f>
        <v>-208</v>
      </c>
      <c r="F4" s="24">
        <f>C4+F3</f>
        <v>2823</v>
      </c>
      <c r="G4" s="24">
        <f>D4+G3</f>
        <v>2615</v>
      </c>
      <c r="H4" s="23"/>
    </row>
    <row r="5" ht="20.05" customHeight="1">
      <c r="A5" s="35">
        <f>1+$A4</f>
        <v>2006</v>
      </c>
      <c r="B5" s="34">
        <f>2441-688</f>
        <v>1753</v>
      </c>
      <c r="C5" s="24"/>
      <c r="D5" s="24">
        <f>B5+C5</f>
        <v>1753</v>
      </c>
      <c r="E5" s="24">
        <f>B5+E4</f>
        <v>1545</v>
      </c>
      <c r="F5" s="24">
        <f>C5+F4</f>
        <v>2823</v>
      </c>
      <c r="G5" s="24">
        <f>D5+G4</f>
        <v>4368</v>
      </c>
      <c r="H5" s="23"/>
    </row>
    <row r="6" ht="20.05" customHeight="1">
      <c r="A6" s="35">
        <f>1+$A5</f>
        <v>2007</v>
      </c>
      <c r="B6" s="34">
        <f>1500+2504</f>
        <v>4004</v>
      </c>
      <c r="C6" s="24">
        <f>-67</f>
        <v>-67</v>
      </c>
      <c r="D6" s="24">
        <f>B6+C6</f>
        <v>3937</v>
      </c>
      <c r="E6" s="24">
        <f>B6+E5</f>
        <v>5549</v>
      </c>
      <c r="F6" s="24">
        <f>C6+F5</f>
        <v>2756</v>
      </c>
      <c r="G6" s="24">
        <f>D6+G5</f>
        <v>8305</v>
      </c>
      <c r="H6" s="23"/>
    </row>
    <row r="7" ht="20.05" customHeight="1">
      <c r="A7" s="35">
        <f>1+$A6</f>
        <v>2008</v>
      </c>
      <c r="B7" s="34">
        <f>-1000-400-4460+1471+12953</f>
        <v>8564</v>
      </c>
      <c r="C7" s="24">
        <v>-142</v>
      </c>
      <c r="D7" s="24">
        <f>B7+C7</f>
        <v>8422</v>
      </c>
      <c r="E7" s="24">
        <f>B7+E6</f>
        <v>14113</v>
      </c>
      <c r="F7" s="24">
        <f>C7+F6</f>
        <v>2614</v>
      </c>
      <c r="G7" s="24">
        <f>D7+G6</f>
        <v>16727</v>
      </c>
      <c r="H7" s="23"/>
    </row>
    <row r="8" ht="20.05" customHeight="1">
      <c r="A8" s="35">
        <f>1+$A7</f>
        <v>2009</v>
      </c>
      <c r="B8" s="34">
        <f>-548-5217-761+2026</f>
        <v>-4500</v>
      </c>
      <c r="C8" s="24">
        <v>2786</v>
      </c>
      <c r="D8" s="24">
        <f>B8+C8</f>
        <v>-1714</v>
      </c>
      <c r="E8" s="24">
        <f>B8+E7</f>
        <v>9613</v>
      </c>
      <c r="F8" s="24">
        <f>C8+F7</f>
        <v>5400</v>
      </c>
      <c r="G8" s="24">
        <f>D8+G7</f>
        <v>15013</v>
      </c>
      <c r="H8" s="23"/>
    </row>
    <row r="9" ht="20.05" customHeight="1">
      <c r="A9" s="35">
        <f>1+$A8</f>
        <v>2010</v>
      </c>
      <c r="B9" s="34">
        <f>-6623-579+3973</f>
        <v>-3229</v>
      </c>
      <c r="C9" s="24"/>
      <c r="D9" s="24">
        <f>B9+C9</f>
        <v>-3229</v>
      </c>
      <c r="E9" s="24">
        <f>B9+E8</f>
        <v>6384</v>
      </c>
      <c r="F9" s="24">
        <f>C9+F8</f>
        <v>5400</v>
      </c>
      <c r="G9" s="24">
        <f>D9+G8</f>
        <v>11784</v>
      </c>
      <c r="H9" s="23"/>
    </row>
    <row r="10" ht="20.05" customHeight="1">
      <c r="A10" s="35">
        <f>1+$A9</f>
        <v>2011</v>
      </c>
      <c r="B10" s="34">
        <f>-4559+4981</f>
        <v>422</v>
      </c>
      <c r="C10" s="24">
        <v>-912</v>
      </c>
      <c r="D10" s="24">
        <f>B10+C10</f>
        <v>-490</v>
      </c>
      <c r="E10" s="24">
        <f>B10+E9</f>
        <v>6806</v>
      </c>
      <c r="F10" s="24">
        <f>C10+F9</f>
        <v>4488</v>
      </c>
      <c r="G10" s="24">
        <f>D10+G9</f>
        <v>11294</v>
      </c>
      <c r="H10" s="23"/>
    </row>
    <row r="11" ht="20.05" customHeight="1">
      <c r="A11" s="35">
        <f>1+$A10</f>
        <v>2012</v>
      </c>
      <c r="B11" s="34">
        <f>-1500-2371+6475</f>
        <v>2604</v>
      </c>
      <c r="C11" s="24">
        <v>-1107</v>
      </c>
      <c r="D11" s="24">
        <f>B11+C11</f>
        <v>1497</v>
      </c>
      <c r="E11" s="24">
        <f>B11+E10</f>
        <v>9410</v>
      </c>
      <c r="F11" s="24">
        <f>C11+F10</f>
        <v>3381</v>
      </c>
      <c r="G11" s="24">
        <f>D11+G10</f>
        <v>12791</v>
      </c>
      <c r="H11" s="23"/>
    </row>
    <row r="12" ht="20.05" customHeight="1">
      <c r="A12" s="35">
        <f>1+$A11</f>
        <v>2013</v>
      </c>
      <c r="B12" s="34">
        <f>-4366+7702</f>
        <v>3336</v>
      </c>
      <c r="C12" s="24">
        <v>-1152</v>
      </c>
      <c r="D12" s="24">
        <f>B12+C12</f>
        <v>2184</v>
      </c>
      <c r="E12" s="24">
        <f>B12+E11</f>
        <v>12746</v>
      </c>
      <c r="F12" s="24">
        <f>C12+F11</f>
        <v>2229</v>
      </c>
      <c r="G12" s="24">
        <f>D12+G11</f>
        <v>14975</v>
      </c>
      <c r="H12" s="23"/>
    </row>
    <row r="13" ht="20.05" customHeight="1">
      <c r="A13" s="35">
        <f>1+$A12</f>
        <v>2014</v>
      </c>
      <c r="B13" s="34">
        <f>-3120+5810+8081</f>
        <v>10771</v>
      </c>
      <c r="C13" s="24">
        <f>-540-1223+1318</f>
        <v>-445</v>
      </c>
      <c r="D13" s="24">
        <f>B13+C13</f>
        <v>10326</v>
      </c>
      <c r="E13" s="24">
        <f>B13+E12</f>
        <v>23517</v>
      </c>
      <c r="F13" s="24">
        <f>C13+F12</f>
        <v>1784</v>
      </c>
      <c r="G13" s="24">
        <f>D13+G12</f>
        <v>25301</v>
      </c>
      <c r="H13" s="23"/>
    </row>
    <row r="14" ht="20.05" customHeight="1">
      <c r="A14" s="35">
        <f>1+$A13</f>
        <v>2015</v>
      </c>
      <c r="B14" s="34">
        <f>-12423+5635+1500</f>
        <v>-5288</v>
      </c>
      <c r="C14" s="24"/>
      <c r="D14" s="24">
        <f>B14+C14</f>
        <v>-5288</v>
      </c>
      <c r="E14" s="24">
        <f>B14+E13</f>
        <v>18229</v>
      </c>
      <c r="F14" s="24">
        <f>C14+F13</f>
        <v>1784</v>
      </c>
      <c r="G14" s="24">
        <f>D14+G13</f>
        <v>20013</v>
      </c>
      <c r="H14" s="23"/>
    </row>
    <row r="15" ht="20.05" customHeight="1">
      <c r="A15" s="35">
        <f>1+$A14</f>
        <v>2016</v>
      </c>
      <c r="B15" s="34">
        <f>-2299-4426-494</f>
        <v>-7219</v>
      </c>
      <c r="C15" s="24">
        <f>2265</f>
        <v>2265</v>
      </c>
      <c r="D15" s="24">
        <f>B15+C15</f>
        <v>-4954</v>
      </c>
      <c r="E15" s="24">
        <f>B15+E14</f>
        <v>11010</v>
      </c>
      <c r="F15" s="24">
        <f>C15+F14</f>
        <v>4049</v>
      </c>
      <c r="G15" s="24">
        <f>D15+G14</f>
        <v>15059</v>
      </c>
      <c r="H15" s="23"/>
    </row>
    <row r="16" ht="20.05" customHeight="1">
      <c r="A16" s="35">
        <f>1+$A15</f>
        <v>2017</v>
      </c>
      <c r="B16" s="34">
        <f>-3650+1498+2180</f>
        <v>28</v>
      </c>
      <c r="C16" s="24"/>
      <c r="D16" s="24">
        <f>B16+C16</f>
        <v>28</v>
      </c>
      <c r="E16" s="24">
        <f>B16+E15</f>
        <v>11038</v>
      </c>
      <c r="F16" s="24">
        <f>C16+F15</f>
        <v>4049</v>
      </c>
      <c r="G16" s="24">
        <f>D16+G15</f>
        <v>15087</v>
      </c>
      <c r="H16" s="23"/>
    </row>
    <row r="17" ht="20.05" customHeight="1">
      <c r="A17" s="35">
        <f>1+$A16</f>
        <v>2018</v>
      </c>
      <c r="B17" s="34">
        <f>-6546+3495-1298+1000+1000</f>
        <v>-2349</v>
      </c>
      <c r="C17" s="24"/>
      <c r="D17" s="24">
        <f>B17+C17</f>
        <v>-2349</v>
      </c>
      <c r="E17" s="24">
        <f>B17+E16</f>
        <v>8689</v>
      </c>
      <c r="F17" s="24">
        <f>C17+F16</f>
        <v>4049</v>
      </c>
      <c r="G17" s="24">
        <f>D17+G16</f>
        <v>12738</v>
      </c>
      <c r="H17" s="23"/>
    </row>
    <row r="18" ht="20.05" customHeight="1">
      <c r="A18" s="35">
        <f>1+$A17</f>
        <v>2019</v>
      </c>
      <c r="B18" s="34">
        <f>-950+600-358-328+640+634</f>
        <v>238</v>
      </c>
      <c r="C18" s="24"/>
      <c r="D18" s="24">
        <f>B18+C18</f>
        <v>238</v>
      </c>
      <c r="E18" s="24">
        <f>B18+E17</f>
        <v>8927</v>
      </c>
      <c r="F18" s="24">
        <f>C18+F17</f>
        <v>4049</v>
      </c>
      <c r="G18" s="24">
        <f>D18+G17</f>
        <v>12976</v>
      </c>
      <c r="H18" s="22">
        <f>AVERAGE(D3:D20)</f>
        <v>541.083333333333</v>
      </c>
    </row>
    <row r="19" ht="20.05" customHeight="1">
      <c r="A19" s="35">
        <f>1+$A18</f>
        <v>2020</v>
      </c>
      <c r="B19" s="34">
        <f>-4080-1076-310+1997</f>
        <v>-3469</v>
      </c>
      <c r="C19" s="24">
        <f>-135-213</f>
        <v>-348</v>
      </c>
      <c r="D19" s="24">
        <f>B19+C19</f>
        <v>-3817</v>
      </c>
      <c r="E19" s="24">
        <f>B19+E18</f>
        <v>5458</v>
      </c>
      <c r="F19" s="24">
        <f>C19+F18</f>
        <v>3701</v>
      </c>
      <c r="G19" s="24">
        <f>D19+G18</f>
        <v>9159</v>
      </c>
      <c r="H19" s="22">
        <f>AVERAGE(D16:D20)</f>
        <v>-1063.9</v>
      </c>
    </row>
    <row r="20" ht="20.05" customHeight="1">
      <c r="A20" s="35">
        <f>1+$A19</f>
        <v>2021</v>
      </c>
      <c r="B20" s="34">
        <f>SUM('Cashflow'!H28:H31)</f>
        <v>918.7</v>
      </c>
      <c r="C20" s="24">
        <f>SUM('Cashflow'!I28:I31)</f>
        <v>-338.2</v>
      </c>
      <c r="D20" s="24">
        <f>B20+C20</f>
        <v>580.5</v>
      </c>
      <c r="E20" s="24">
        <f>B20+E19</f>
        <v>6376.7</v>
      </c>
      <c r="F20" s="24">
        <f>C20+F19</f>
        <v>3362.8</v>
      </c>
      <c r="G20" s="24">
        <f>D20+G19</f>
        <v>9739.5</v>
      </c>
      <c r="H20" s="22">
        <f>D20</f>
        <v>580.5</v>
      </c>
    </row>
    <row r="22" ht="27.65" customHeight="1">
      <c r="I22" t="s" s="2">
        <v>64</v>
      </c>
      <c r="J22" s="2"/>
      <c r="K22" s="2"/>
      <c r="L22" s="2"/>
      <c r="M22" s="2"/>
      <c r="N22" s="2"/>
      <c r="O22" s="2"/>
      <c r="P22" s="2"/>
      <c r="Q22" s="2"/>
    </row>
    <row r="23" ht="20.25" customHeight="1">
      <c r="I23" s="4"/>
      <c r="J23" s="4"/>
      <c r="K23" s="4"/>
      <c r="L23" s="4"/>
      <c r="M23" s="4"/>
      <c r="N23" s="4"/>
      <c r="O23" s="4"/>
      <c r="P23" s="4"/>
      <c r="Q23" s="4"/>
    </row>
    <row r="24" ht="32.25" customHeight="1">
      <c r="I24" s="55"/>
      <c r="J24" t="s" s="56">
        <v>60</v>
      </c>
      <c r="K24" t="s" s="57">
        <v>65</v>
      </c>
      <c r="L24" s="8"/>
      <c r="M24" s="8"/>
      <c r="N24" s="8"/>
      <c r="O24" s="8"/>
      <c r="P24" s="8"/>
      <c r="Q24" s="8"/>
    </row>
    <row r="25" ht="20.05" customHeight="1">
      <c r="I25" s="33"/>
      <c r="J25" s="58">
        <v>44593</v>
      </c>
      <c r="K25" s="22">
        <v>21</v>
      </c>
      <c r="L25" s="22">
        <v>2022</v>
      </c>
      <c r="M25" s="23"/>
      <c r="N25" s="23"/>
      <c r="O25" s="23"/>
      <c r="P25" s="23"/>
      <c r="Q25" s="23"/>
    </row>
    <row r="26" ht="20.05" customHeight="1">
      <c r="I26" s="33"/>
      <c r="J26" t="s" s="59">
        <v>66</v>
      </c>
      <c r="K26" s="22">
        <f>$A3</f>
        <v>2004</v>
      </c>
      <c r="L26" s="23"/>
      <c r="M26" s="23"/>
      <c r="N26" s="23"/>
      <c r="O26" s="23"/>
      <c r="P26" s="23"/>
      <c r="Q26" s="23"/>
    </row>
    <row r="27" ht="32.05" customHeight="1">
      <c r="I27" s="33"/>
      <c r="J27" t="s" s="59">
        <v>67</v>
      </c>
      <c r="K27" s="22">
        <f>(2021-K26)*4</f>
        <v>68</v>
      </c>
      <c r="L27" s="23"/>
      <c r="M27" s="23"/>
      <c r="N27" s="23"/>
      <c r="O27" s="23"/>
      <c r="P27" s="23"/>
      <c r="Q27" s="23"/>
    </row>
    <row r="28" ht="20.05" customHeight="1">
      <c r="I28" s="33"/>
      <c r="J28" t="s" s="59">
        <v>12</v>
      </c>
      <c r="K28" s="24">
        <f>P32</f>
        <v>6376.7</v>
      </c>
      <c r="L28" t="s" s="60">
        <f>P29</f>
        <v>68</v>
      </c>
      <c r="M28" t="s" s="60">
        <f>IF(K28&gt;0,"raised","paid")</f>
        <v>69</v>
      </c>
      <c r="N28" s="23"/>
      <c r="O28" s="23"/>
      <c r="P28" s="23"/>
      <c r="Q28" s="23"/>
    </row>
    <row r="29" ht="32.05" customHeight="1">
      <c r="I29" s="33"/>
      <c r="J29" t="s" s="59">
        <f>J24</f>
        <v>60</v>
      </c>
      <c r="K29" t="s" s="60">
        <v>70</v>
      </c>
      <c r="L29" t="s" s="60">
        <f>IF(O29&gt;0,"raised","paid")</f>
        <v>69</v>
      </c>
      <c r="M29" t="s" s="60">
        <v>71</v>
      </c>
      <c r="N29" t="s" s="60">
        <v>72</v>
      </c>
      <c r="O29" s="24">
        <f>AVERAGE(B3:B20)</f>
        <v>354.261111111111</v>
      </c>
      <c r="P29" t="s" s="60">
        <v>68</v>
      </c>
      <c r="Q29" t="s" s="60">
        <v>73</v>
      </c>
    </row>
    <row r="30" ht="32.05" customHeight="1">
      <c r="I30" s="33"/>
      <c r="J30" t="s" s="59">
        <v>74</v>
      </c>
      <c r="K30" t="s" s="60">
        <f>M29</f>
        <v>71</v>
      </c>
      <c r="L30" t="s" s="60">
        <v>75</v>
      </c>
      <c r="M30" t="s" s="60">
        <f>IF(O30&gt;0,"raised","paid")</f>
        <v>76</v>
      </c>
      <c r="N30" t="s" s="60">
        <v>72</v>
      </c>
      <c r="O30" s="24">
        <f>AVERAGE(B16:B20)</f>
        <v>-926.66</v>
      </c>
      <c r="P30" t="s" s="60">
        <v>68</v>
      </c>
      <c r="Q30" t="s" s="60">
        <v>73</v>
      </c>
    </row>
    <row r="31" ht="44.05" customHeight="1">
      <c r="I31" s="33"/>
      <c r="J31" t="s" s="59">
        <v>77</v>
      </c>
      <c r="K31" t="s" s="60">
        <v>78</v>
      </c>
      <c r="L31" s="24">
        <f>MAX(E3:E20)</f>
        <v>23517</v>
      </c>
      <c r="M31" t="s" s="60">
        <f>P30</f>
        <v>68</v>
      </c>
      <c r="N31" t="s" s="60">
        <v>79</v>
      </c>
      <c r="O31" s="22">
        <f>$A13</f>
        <v>2014</v>
      </c>
      <c r="P31" s="23"/>
      <c r="Q31" s="23"/>
    </row>
    <row r="32" ht="32.05" customHeight="1">
      <c r="I32" s="33"/>
      <c r="J32" t="s" s="59">
        <v>80</v>
      </c>
      <c r="K32" t="s" s="60">
        <f>K30</f>
        <v>71</v>
      </c>
      <c r="L32" t="s" s="60">
        <v>81</v>
      </c>
      <c r="M32" t="s" s="60">
        <v>82</v>
      </c>
      <c r="N32" t="s" s="60">
        <f>IF(P32&lt;L31,"down","up")</f>
        <v>83</v>
      </c>
      <c r="O32" t="s" s="60">
        <v>84</v>
      </c>
      <c r="P32" s="24">
        <f>E20</f>
        <v>6376.7</v>
      </c>
      <c r="Q32" t="s" s="60">
        <f>P30</f>
        <v>68</v>
      </c>
    </row>
    <row r="33" ht="20.05" customHeight="1">
      <c r="I33" s="33"/>
      <c r="J33" t="s" s="59">
        <v>15</v>
      </c>
      <c r="K33" s="24">
        <f>P37</f>
        <v>3362.8</v>
      </c>
      <c r="L33" t="s" s="60">
        <f>Q32</f>
        <v>68</v>
      </c>
      <c r="M33" t="s" s="60">
        <f>IF(K33&gt;0,"raised","paid")</f>
        <v>69</v>
      </c>
      <c r="N33" s="23"/>
      <c r="O33" s="23"/>
      <c r="P33" s="23"/>
      <c r="Q33" s="23"/>
    </row>
    <row r="34" ht="32.05" customHeight="1">
      <c r="I34" s="33"/>
      <c r="J34" t="s" s="59">
        <f>J29</f>
        <v>60</v>
      </c>
      <c r="K34" t="s" s="60">
        <v>70</v>
      </c>
      <c r="L34" t="s" s="60">
        <f>IF(O34&gt;0,"raised","paid")</f>
        <v>69</v>
      </c>
      <c r="M34" t="s" s="60">
        <v>85</v>
      </c>
      <c r="N34" t="s" s="60">
        <f>N29</f>
        <v>72</v>
      </c>
      <c r="O34" s="24">
        <f>AVERAGE(C3:C20)</f>
        <v>305.709090909091</v>
      </c>
      <c r="P34" t="s" s="60">
        <f>P29</f>
        <v>68</v>
      </c>
      <c r="Q34" t="s" s="60">
        <f>Q29</f>
        <v>73</v>
      </c>
    </row>
    <row r="35" ht="32.05" customHeight="1">
      <c r="I35" s="33"/>
      <c r="J35" t="s" s="59">
        <v>74</v>
      </c>
      <c r="K35" t="s" s="60">
        <f>M34</f>
        <v>85</v>
      </c>
      <c r="L35" t="s" s="60">
        <v>86</v>
      </c>
      <c r="M35" t="s" s="60">
        <f>IF(O35&gt;0,"raised","paid")</f>
        <v>76</v>
      </c>
      <c r="N35" t="s" s="60">
        <v>72</v>
      </c>
      <c r="O35" s="24">
        <f>SUM(C16:C20)/5</f>
        <v>-137.24</v>
      </c>
      <c r="P35" t="s" s="60">
        <v>68</v>
      </c>
      <c r="Q35" t="s" s="60">
        <v>73</v>
      </c>
    </row>
    <row r="36" ht="44.05" customHeight="1">
      <c r="I36" s="33"/>
      <c r="J36" t="s" s="59">
        <v>87</v>
      </c>
      <c r="K36" t="s" s="60">
        <v>78</v>
      </c>
      <c r="L36" s="24">
        <f>MAX(F3:F20)</f>
        <v>5400</v>
      </c>
      <c r="M36" t="s" s="60">
        <f>P35</f>
        <v>68</v>
      </c>
      <c r="N36" t="s" s="60">
        <v>79</v>
      </c>
      <c r="O36" s="22">
        <f>$A9</f>
        <v>2010</v>
      </c>
      <c r="P36" s="23"/>
      <c r="Q36" s="23"/>
    </row>
    <row r="37" ht="32.05" customHeight="1">
      <c r="I37" s="33"/>
      <c r="J37" t="s" s="59">
        <v>80</v>
      </c>
      <c r="K37" t="s" s="60">
        <f>K35</f>
        <v>85</v>
      </c>
      <c r="L37" t="s" s="60">
        <v>81</v>
      </c>
      <c r="M37" t="s" s="60">
        <v>88</v>
      </c>
      <c r="N37" t="s" s="60">
        <f>IF(P37&lt;L36,"down","up")</f>
        <v>83</v>
      </c>
      <c r="O37" t="s" s="60">
        <v>84</v>
      </c>
      <c r="P37" s="24">
        <f>F20</f>
        <v>3362.8</v>
      </c>
      <c r="Q37" t="s" s="60">
        <f>P35</f>
        <v>68</v>
      </c>
    </row>
    <row r="38" ht="20.05" customHeight="1">
      <c r="I38" s="33"/>
      <c r="J38" t="s" s="59">
        <v>89</v>
      </c>
      <c r="K38" s="24">
        <f>P42</f>
        <v>9739.5</v>
      </c>
      <c r="L38" t="s" s="60">
        <f>Q37</f>
        <v>68</v>
      </c>
      <c r="M38" t="s" s="60">
        <f>IF(K38&gt;0,"raised","paid")</f>
        <v>69</v>
      </c>
      <c r="N38" s="23"/>
      <c r="O38" s="23"/>
      <c r="P38" s="23"/>
      <c r="Q38" s="23"/>
    </row>
    <row r="39" ht="32.05" customHeight="1">
      <c r="I39" s="33"/>
      <c r="J39" t="s" s="59">
        <f>J34</f>
        <v>60</v>
      </c>
      <c r="K39" t="s" s="60">
        <v>70</v>
      </c>
      <c r="L39" t="s" s="60">
        <f>IF(O39&gt;0,"raised","paid")</f>
        <v>69</v>
      </c>
      <c r="M39" t="s" s="60">
        <v>90</v>
      </c>
      <c r="N39" t="s" s="60">
        <f>N34</f>
        <v>72</v>
      </c>
      <c r="O39" s="24">
        <f>AVERAGE(D3:D20)</f>
        <v>541.083333333333</v>
      </c>
      <c r="P39" t="s" s="60">
        <f>P34</f>
        <v>68</v>
      </c>
      <c r="Q39" t="s" s="60">
        <f>Q34</f>
        <v>73</v>
      </c>
    </row>
    <row r="40" ht="32.05" customHeight="1">
      <c r="I40" s="33"/>
      <c r="J40" t="s" s="59">
        <v>74</v>
      </c>
      <c r="K40" t="s" s="60">
        <f>M39</f>
        <v>90</v>
      </c>
      <c r="L40" t="s" s="60">
        <v>86</v>
      </c>
      <c r="M40" t="s" s="60">
        <f>IF(O40&gt;0,"raised","paid")</f>
        <v>76</v>
      </c>
      <c r="N40" t="s" s="60">
        <v>72</v>
      </c>
      <c r="O40" s="24">
        <f>SUM(D16:D20)/5</f>
        <v>-1063.9</v>
      </c>
      <c r="P40" t="s" s="60">
        <v>68</v>
      </c>
      <c r="Q40" t="s" s="60">
        <v>73</v>
      </c>
    </row>
    <row r="41" ht="44.05" customHeight="1">
      <c r="I41" s="33"/>
      <c r="J41" t="s" s="59">
        <v>91</v>
      </c>
      <c r="K41" t="s" s="60">
        <v>78</v>
      </c>
      <c r="L41" s="24">
        <f>MAX(G3:G20)</f>
        <v>25301</v>
      </c>
      <c r="M41" t="s" s="60">
        <f>P40</f>
        <v>68</v>
      </c>
      <c r="N41" t="s" s="60">
        <v>79</v>
      </c>
      <c r="O41" s="22">
        <f>$A13</f>
        <v>2014</v>
      </c>
      <c r="P41" s="23"/>
      <c r="Q41" s="23"/>
    </row>
    <row r="42" ht="32.05" customHeight="1">
      <c r="I42" s="33"/>
      <c r="J42" t="s" s="59">
        <v>80</v>
      </c>
      <c r="K42" t="s" s="60">
        <f>K40</f>
        <v>90</v>
      </c>
      <c r="L42" t="s" s="60">
        <v>81</v>
      </c>
      <c r="M42" t="s" s="60">
        <v>88</v>
      </c>
      <c r="N42" t="s" s="60">
        <f>IF(P42&lt;L41,"down","up")</f>
        <v>83</v>
      </c>
      <c r="O42" t="s" s="60">
        <v>84</v>
      </c>
      <c r="P42" s="24">
        <f>G20</f>
        <v>9739.5</v>
      </c>
      <c r="Q42" t="s" s="60">
        <f>P40</f>
        <v>68</v>
      </c>
    </row>
  </sheetData>
  <mergeCells count="2">
    <mergeCell ref="A1:H1"/>
    <mergeCell ref="I22:Q2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