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Data" sheetId="2" r:id="rId5"/>
  </sheets>
</workbook>
</file>

<file path=xl/sharedStrings.xml><?xml version="1.0" encoding="utf-8"?>
<sst xmlns="http://schemas.openxmlformats.org/spreadsheetml/2006/main" uniqueCount="57">
  <si>
    <t>Model</t>
  </si>
  <si>
    <t>$m</t>
  </si>
  <si>
    <t>4Q 2022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</si>
  <si>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</si>
  <si>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</si>
  <si>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</si>
  <si>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</si>
  <si>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</si>
  <si>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</si>
  <si>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>Investment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</si>
  <si>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</si>
  <si>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</si>
  <si>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</si>
  <si>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</si>
  <si>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Finance </t>
  </si>
  <si>
    <t xml:space="preserve">Beginning </t>
  </si>
  <si>
    <t xml:space="preserve">Change </t>
  </si>
  <si>
    <t xml:space="preserve">Ending </t>
  </si>
  <si>
    <t xml:space="preserve">Profit </t>
  </si>
  <si>
    <t>Non cash costs</t>
  </si>
  <si>
    <t xml:space="preserve">Balance sheet </t>
  </si>
  <si>
    <t xml:space="preserve">Other assets </t>
  </si>
  <si>
    <t xml:space="preserve">Depreciation </t>
  </si>
  <si>
    <t xml:space="preserve">Net other assets </t>
  </si>
  <si>
    <t xml:space="preserve">Check </t>
  </si>
  <si>
    <t xml:space="preserve">Net cash </t>
  </si>
  <si>
    <t xml:space="preserve">Valuation </t>
  </si>
  <si>
    <t xml:space="preserve">Rupiah </t>
  </si>
  <si>
    <t xml:space="preserve">Capital 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</si>
  <si>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</si>
  <si>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</si>
  <si>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</si>
  <si>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</si>
  <si>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</si>
  <si>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</si>
  <si>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</si>
  <si>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</si>
  <si>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</si>
  <si>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</si>
  <si>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</si>
  <si>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</si>
  <si>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>Data</t>
  </si>
  <si>
    <t>Cash</t>
  </si>
  <si>
    <t xml:space="preserve">Assets </t>
  </si>
  <si>
    <t>Other assets</t>
  </si>
  <si>
    <t>Forecasts</t>
  </si>
  <si>
    <t xml:space="preserve">Non cash costs </t>
  </si>
  <si>
    <t>Cashflow costs</t>
  </si>
  <si>
    <t xml:space="preserve">Receipts </t>
  </si>
  <si>
    <t xml:space="preserve">Investment </t>
  </si>
  <si>
    <t>Interest</t>
  </si>
  <si>
    <t>Finance</t>
  </si>
  <si>
    <t>Free cashflow</t>
  </si>
  <si>
    <t>Cashflow</t>
  </si>
  <si>
    <t>ESSA</t>
  </si>
  <si>
    <t>Target</t>
  </si>
  <si>
    <t xml:space="preserve">Previous 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</si>
</sst>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0.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3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0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524431</xdr:colOff>
      <xdr:row>0</xdr:row>
      <xdr:rowOff>339368</xdr:rowOff>
    </xdr:from>
    <xdr:to>
      <xdr:col>12</xdr:col>
      <xdr:colOff>630456</xdr:colOff>
      <xdr:row>47</xdr:row>
      <xdr:rowOff>27555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64631" y="339368"/>
          <a:ext cx="8818226" cy="1175763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7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5" width="9.46094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s="4"/>
      <c r="C2" s="4"/>
      <c r="D2" s="4"/>
      <c r="E2" t="s" s="5">
        <v>2</v>
      </c>
    </row>
    <row r="3" ht="20.25" customHeight="1">
      <c r="A3" t="s" s="6">
        <v>3</v>
      </c>
      <c r="B3" s="7">
        <f>AVERAGE('Data'!N16:N19)</f>
        <v>0.104377175824167</v>
      </c>
      <c r="C3" s="8"/>
      <c r="D3" s="8"/>
      <c r="E3" s="9">
        <f>AVERAGE(B4:E4)</f>
        <v>0.0725</v>
      </c>
    </row>
    <row r="4" ht="20.05" customHeight="1">
      <c r="A4" t="s" s="10">
        <v>4</v>
      </c>
      <c r="B4" s="11">
        <v>0.1</v>
      </c>
      <c r="C4" s="12">
        <v>0.05</v>
      </c>
      <c r="D4" s="12">
        <v>0.07000000000000001</v>
      </c>
      <c r="E4" s="12">
        <v>0.07000000000000001</v>
      </c>
    </row>
    <row r="5" ht="20.05" customHeight="1">
      <c r="A5" t="s" s="10">
        <v>5</v>
      </c>
      <c r="B5" s="13">
        <f>'Data'!L19*(1+B4)</f>
        <v>69.1746</v>
      </c>
      <c r="C5" s="14">
        <f>B5*(1+C4)</f>
        <v>72.63333</v>
      </c>
      <c r="D5" s="14">
        <f>C5*(1+D4)</f>
        <v>77.7176631</v>
      </c>
      <c r="E5" s="14">
        <f>D5*(1+E4)</f>
        <v>83.157899517</v>
      </c>
    </row>
    <row r="6" ht="20.05" customHeight="1">
      <c r="A6" t="s" s="10">
        <v>6</v>
      </c>
      <c r="B6" s="15">
        <f>AVERAGE('Data'!R18:R19)</f>
        <v>-0.803871810372022</v>
      </c>
      <c r="C6" s="16">
        <f>B6</f>
        <v>-0.803871810372022</v>
      </c>
      <c r="D6" s="16">
        <f>C6</f>
        <v>-0.803871810372022</v>
      </c>
      <c r="E6" s="16">
        <f>D6</f>
        <v>-0.803871810372022</v>
      </c>
    </row>
    <row r="7" ht="20.05" customHeight="1">
      <c r="A7" t="s" s="10">
        <v>7</v>
      </c>
      <c r="B7" s="13">
        <f>B5*B6</f>
        <v>-55.6075109337605</v>
      </c>
      <c r="C7" s="14">
        <f>C5*C6</f>
        <v>-58.3878864804485</v>
      </c>
      <c r="D7" s="14">
        <f>D5*D6</f>
        <v>-62.4750385340799</v>
      </c>
      <c r="E7" s="14">
        <f>E5*E6</f>
        <v>-66.8482912314655</v>
      </c>
    </row>
    <row r="8" ht="20.05" customHeight="1">
      <c r="A8" t="s" s="10">
        <v>8</v>
      </c>
      <c r="B8" s="13">
        <f>B5+B7</f>
        <v>13.5670890662395</v>
      </c>
      <c r="C8" s="14">
        <f>C5+C7</f>
        <v>14.2454435195515</v>
      </c>
      <c r="D8" s="14">
        <f>D5+D7</f>
        <v>15.2426245659201</v>
      </c>
      <c r="E8" s="14">
        <f>E5+E7</f>
        <v>16.3096082855345</v>
      </c>
    </row>
    <row r="9" ht="20.05" customHeight="1">
      <c r="A9" t="s" s="10">
        <v>9</v>
      </c>
      <c r="B9" s="13">
        <f>AVERAGE('Data'!W19)</f>
        <v>-0.234</v>
      </c>
      <c r="C9" s="14">
        <f>B9</f>
        <v>-0.234</v>
      </c>
      <c r="D9" s="14">
        <f>C9</f>
        <v>-0.234</v>
      </c>
      <c r="E9" s="14">
        <f>D9</f>
        <v>-0.234</v>
      </c>
    </row>
    <row r="10" ht="20.05" customHeight="1">
      <c r="A10" t="s" s="10">
        <v>10</v>
      </c>
      <c r="B10" s="13">
        <f>-'Data'!G19/20</f>
        <v>-25.4</v>
      </c>
      <c r="C10" s="14">
        <f>-B25/20</f>
        <v>-24.13</v>
      </c>
      <c r="D10" s="14">
        <f>-C25/20</f>
        <v>-22.9235</v>
      </c>
      <c r="E10" s="14">
        <f>-D25/20</f>
        <v>-21.777325</v>
      </c>
    </row>
    <row r="11" ht="20.05" customHeight="1">
      <c r="A11" t="s" s="10">
        <v>11</v>
      </c>
      <c r="B11" s="13">
        <f>IF(B20&gt;0,-B20*0.1,0)</f>
        <v>-0.17920890662395</v>
      </c>
      <c r="C11" s="14">
        <f>IF(C20&gt;0,-C20*0.1,0)</f>
        <v>-0.24704435195515</v>
      </c>
      <c r="D11" s="14">
        <f>IF(D20&gt;0,-D20*0.1,0)</f>
        <v>-0.34676245659201</v>
      </c>
      <c r="E11" s="14">
        <f>IF(E20&gt;0,-E20*0.1,0)</f>
        <v>-0.45346082855345</v>
      </c>
    </row>
    <row r="12" ht="20.05" customHeight="1">
      <c r="A12" t="s" s="10">
        <v>12</v>
      </c>
      <c r="B12" s="13">
        <f>B8+B9+B10+B11</f>
        <v>-12.2461198403845</v>
      </c>
      <c r="C12" s="14">
        <f>C8+C9+C10+C11</f>
        <v>-10.3656008324037</v>
      </c>
      <c r="D12" s="14">
        <f>D8+D9+D10+D11</f>
        <v>-8.26163789067191</v>
      </c>
      <c r="E12" s="14">
        <f>E8+E9+E10+E11</f>
        <v>-6.15517754301895</v>
      </c>
    </row>
    <row r="13" ht="20.05" customHeight="1">
      <c r="A13" t="s" s="10">
        <v>13</v>
      </c>
      <c r="B13" s="17">
        <f>-MIN(0,B12)</f>
        <v>12.2461198403845</v>
      </c>
      <c r="C13" s="18">
        <f>-MIN(B26,C12)</f>
        <v>10.3656008324037</v>
      </c>
      <c r="D13" s="18">
        <f>-MIN(C26,D12)</f>
        <v>8.26163789067191</v>
      </c>
      <c r="E13" s="18">
        <f>-MIN(D26,E12)</f>
        <v>6.15517754301895</v>
      </c>
    </row>
    <row r="14" ht="20.05" customHeight="1">
      <c r="A14" t="s" s="10">
        <v>14</v>
      </c>
      <c r="B14" s="13">
        <f>B10+B11+B13</f>
        <v>-13.3330890662395</v>
      </c>
      <c r="C14" s="14">
        <f>C10+C11+C13</f>
        <v>-14.0114435195515</v>
      </c>
      <c r="D14" s="14">
        <f>D10+D11+D13</f>
        <v>-15.0086245659201</v>
      </c>
      <c r="E14" s="14">
        <f>E10+E11+E13</f>
        <v>-16.0756082855345</v>
      </c>
    </row>
    <row r="15" ht="20.05" customHeight="1">
      <c r="A15" t="s" s="10">
        <v>15</v>
      </c>
      <c r="B15" s="13">
        <f>'Data'!C19</f>
        <v>81</v>
      </c>
      <c r="C15" s="14">
        <f>B17</f>
        <v>81</v>
      </c>
      <c r="D15" s="14">
        <f>C17</f>
        <v>81</v>
      </c>
      <c r="E15" s="14">
        <f>D17</f>
        <v>81</v>
      </c>
    </row>
    <row r="16" ht="20.05" customHeight="1">
      <c r="A16" t="s" s="10">
        <v>16</v>
      </c>
      <c r="B16" s="13">
        <f>B8+B9+B14</f>
        <v>0</v>
      </c>
      <c r="C16" s="14">
        <f>C8+C9+C14</f>
        <v>0</v>
      </c>
      <c r="D16" s="14">
        <f>D8+D9+D14</f>
        <v>0</v>
      </c>
      <c r="E16" s="14">
        <f>E8+E9+E14</f>
        <v>0</v>
      </c>
    </row>
    <row r="17" ht="20.05" customHeight="1">
      <c r="A17" t="s" s="10">
        <v>17</v>
      </c>
      <c r="B17" s="13">
        <f>B15+B16</f>
        <v>81</v>
      </c>
      <c r="C17" s="14">
        <f>C15+C16</f>
        <v>81</v>
      </c>
      <c r="D17" s="14">
        <f>D15+D16</f>
        <v>81</v>
      </c>
      <c r="E17" s="14">
        <f>E15+E16</f>
        <v>81</v>
      </c>
    </row>
    <row r="18" ht="20.05" customHeight="1">
      <c r="A18" t="s" s="19">
        <v>18</v>
      </c>
      <c r="B18" s="17"/>
      <c r="C18" s="18"/>
      <c r="D18" s="18"/>
      <c r="E18" s="18"/>
    </row>
    <row r="19" ht="20.05" customHeight="1">
      <c r="A19" t="s" s="10">
        <v>19</v>
      </c>
      <c r="B19" s="13">
        <f>-AVERAGE('Data'!P16:P19)</f>
        <v>-11.775</v>
      </c>
      <c r="C19" s="14">
        <f>B19</f>
        <v>-11.775</v>
      </c>
      <c r="D19" s="14">
        <f>C19</f>
        <v>-11.775</v>
      </c>
      <c r="E19" s="14">
        <f>D19</f>
        <v>-11.775</v>
      </c>
    </row>
    <row r="20" ht="20.05" customHeight="1">
      <c r="A20" t="s" s="10">
        <v>18</v>
      </c>
      <c r="B20" s="13">
        <f>B5+B7+B19</f>
        <v>1.7920890662395</v>
      </c>
      <c r="C20" s="14">
        <f>C5+C7+C19</f>
        <v>2.4704435195515</v>
      </c>
      <c r="D20" s="14">
        <f>D5+D7+D19</f>
        <v>3.4676245659201</v>
      </c>
      <c r="E20" s="14">
        <f>E5+E7+E19</f>
        <v>4.5346082855345</v>
      </c>
    </row>
    <row r="21" ht="20.05" customHeight="1">
      <c r="A21" t="s" s="19">
        <v>20</v>
      </c>
      <c r="B21" s="17"/>
      <c r="C21" s="18"/>
      <c r="D21" s="18"/>
      <c r="E21" s="18"/>
    </row>
    <row r="22" ht="20.05" customHeight="1">
      <c r="A22" t="s" s="10">
        <v>21</v>
      </c>
      <c r="B22" s="13">
        <f>'Data'!E19+'Data'!F19-B9</f>
        <v>876.234</v>
      </c>
      <c r="C22" s="14">
        <f>B22-C9</f>
        <v>876.468</v>
      </c>
      <c r="D22" s="14">
        <f>C22-D9</f>
        <v>876.702</v>
      </c>
      <c r="E22" s="14">
        <f>D22-E9</f>
        <v>876.936</v>
      </c>
    </row>
    <row r="23" ht="20.05" customHeight="1">
      <c r="A23" t="s" s="10">
        <v>22</v>
      </c>
      <c r="B23" s="13">
        <f>'Data'!F19-B19</f>
        <v>159.775</v>
      </c>
      <c r="C23" s="14">
        <f>B23-C19</f>
        <v>171.55</v>
      </c>
      <c r="D23" s="14">
        <f>C23-D19</f>
        <v>183.325</v>
      </c>
      <c r="E23" s="14">
        <f>D23-E19</f>
        <v>195.1</v>
      </c>
    </row>
    <row r="24" ht="20.05" customHeight="1">
      <c r="A24" t="s" s="10">
        <v>23</v>
      </c>
      <c r="B24" s="13">
        <f>B22-B23</f>
        <v>716.4589999999999</v>
      </c>
      <c r="C24" s="14">
        <f>C22-C23</f>
        <v>704.918</v>
      </c>
      <c r="D24" s="14">
        <f>D22-D23</f>
        <v>693.377</v>
      </c>
      <c r="E24" s="14">
        <f>E22-E23</f>
        <v>681.836</v>
      </c>
    </row>
    <row r="25" ht="20.05" customHeight="1">
      <c r="A25" t="s" s="10">
        <v>10</v>
      </c>
      <c r="B25" s="13">
        <f>'Data'!G19+B10</f>
        <v>482.6</v>
      </c>
      <c r="C25" s="14">
        <f>B25+C10</f>
        <v>458.47</v>
      </c>
      <c r="D25" s="14">
        <f>C25+D10</f>
        <v>435.5465</v>
      </c>
      <c r="E25" s="14">
        <f>D25+E10</f>
        <v>413.769175</v>
      </c>
    </row>
    <row r="26" ht="20.05" customHeight="1">
      <c r="A26" t="s" s="10">
        <v>13</v>
      </c>
      <c r="B26" s="17">
        <f>B13</f>
        <v>12.2461198403845</v>
      </c>
      <c r="C26" s="18">
        <f>B26+C13</f>
        <v>22.6117206727882</v>
      </c>
      <c r="D26" s="18">
        <f>C26+D13</f>
        <v>30.8733585634601</v>
      </c>
      <c r="E26" s="18">
        <f>D26+E13</f>
        <v>37.0285361064791</v>
      </c>
    </row>
    <row r="27" ht="20.05" customHeight="1">
      <c r="A27" t="s" s="10">
        <v>11</v>
      </c>
      <c r="B27" s="13">
        <f>'Data'!H19+B20+B11</f>
        <v>302.612880159616</v>
      </c>
      <c r="C27" s="14">
        <f>B27+C20+C11</f>
        <v>304.836279327212</v>
      </c>
      <c r="D27" s="14">
        <f>C27+D20+D11</f>
        <v>307.957141436540</v>
      </c>
      <c r="E27" s="14">
        <f>D27+E20+E11</f>
        <v>312.038288893521</v>
      </c>
    </row>
    <row r="28" ht="20.05" customHeight="1">
      <c r="A28" t="s" s="10">
        <v>24</v>
      </c>
      <c r="B28" s="13">
        <f>B25+B26+B27-B17-B24</f>
        <v>5e-13</v>
      </c>
      <c r="C28" s="14">
        <f>C25+C26+C27-C17-C24</f>
        <v>2e-13</v>
      </c>
      <c r="D28" s="14">
        <f>D25+D26+D27-D17-D24</f>
        <v>1e-13</v>
      </c>
      <c r="E28" s="14">
        <f>E25+E26+E27-E17-E24</f>
        <v>1e-13</v>
      </c>
    </row>
    <row r="29" ht="20.05" customHeight="1">
      <c r="A29" t="s" s="10">
        <v>25</v>
      </c>
      <c r="B29" s="13">
        <f>B17-B25-B26</f>
        <v>-413.846119840385</v>
      </c>
      <c r="C29" s="14">
        <f>C17-C25-C26</f>
        <v>-400.081720672788</v>
      </c>
      <c r="D29" s="14">
        <f>D17-D25-D26</f>
        <v>-385.419858563460</v>
      </c>
      <c r="E29" s="14">
        <f>E17-E25-E26</f>
        <v>-369.797711106479</v>
      </c>
    </row>
    <row r="30" ht="20.05" customHeight="1">
      <c r="A30" t="s" s="19">
        <v>26</v>
      </c>
      <c r="B30" s="17"/>
      <c r="C30" s="18"/>
      <c r="D30" s="18"/>
      <c r="E30" s="18"/>
    </row>
    <row r="31" ht="20.05" customHeight="1">
      <c r="A31" t="s" s="10">
        <v>27</v>
      </c>
      <c r="B31" s="17"/>
      <c r="C31" s="18"/>
      <c r="D31" s="18"/>
      <c r="E31" s="18">
        <v>14</v>
      </c>
    </row>
    <row r="32" ht="20.05" customHeight="1">
      <c r="A32" t="s" s="10">
        <v>28</v>
      </c>
      <c r="B32" s="17">
        <f>'Data'!AE19-B14</f>
        <v>16.8330890662395</v>
      </c>
      <c r="C32" s="18">
        <f>B32-C14</f>
        <v>30.844532585791</v>
      </c>
      <c r="D32" s="18">
        <f>C32-D14</f>
        <v>45.8531571517111</v>
      </c>
      <c r="E32" s="18">
        <f>D32-E14</f>
        <v>61.9287654372456</v>
      </c>
    </row>
    <row r="33" ht="20.05" customHeight="1">
      <c r="A33" t="s" s="10">
        <v>29</v>
      </c>
      <c r="B33" s="17"/>
      <c r="C33" s="18"/>
      <c r="D33" s="18"/>
      <c r="E33" s="14">
        <v>11902284267520</v>
      </c>
    </row>
    <row r="34" ht="20.05" customHeight="1">
      <c r="A34" t="s" s="10">
        <v>29</v>
      </c>
      <c r="B34" s="17"/>
      <c r="C34" s="18"/>
      <c r="D34" s="18"/>
      <c r="E34" s="14">
        <f>(E33/1000000000)/E31</f>
        <v>850.163161965714</v>
      </c>
    </row>
    <row r="35" ht="20.05" customHeight="1">
      <c r="A35" t="s" s="10">
        <v>30</v>
      </c>
      <c r="B35" s="17"/>
      <c r="C35" s="18"/>
      <c r="D35" s="18"/>
      <c r="E35" s="20">
        <f>E34/(E17+E24)</f>
        <v>1.11447698059047</v>
      </c>
    </row>
    <row r="36" ht="20.05" customHeight="1">
      <c r="A36" t="s" s="10">
        <v>31</v>
      </c>
      <c r="B36" s="17"/>
      <c r="C36" s="18"/>
      <c r="D36" s="18"/>
      <c r="E36" s="16">
        <f>-(B11+C11+D11+E11)/E34</f>
        <v>0.0014426366591664</v>
      </c>
    </row>
    <row r="37" ht="20.05" customHeight="1">
      <c r="A37" t="s" s="10">
        <v>3</v>
      </c>
      <c r="B37" s="17"/>
      <c r="C37" s="18"/>
      <c r="D37" s="18"/>
      <c r="E37" s="14">
        <f>SUM(E8:E9)*4</f>
        <v>64.302433142138</v>
      </c>
    </row>
    <row r="38" ht="20.05" customHeight="1">
      <c r="A38" t="s" s="10">
        <v>32</v>
      </c>
      <c r="B38" s="17"/>
      <c r="C38" s="18"/>
      <c r="D38" s="18"/>
      <c r="E38" s="14">
        <f>'Data'!E19/E37</f>
        <v>11.3215000494738</v>
      </c>
    </row>
    <row r="39" ht="20.05" customHeight="1">
      <c r="A39" t="s" s="10">
        <v>26</v>
      </c>
      <c r="B39" s="17"/>
      <c r="C39" s="18"/>
      <c r="D39" s="18"/>
      <c r="E39" s="14">
        <f>E34/E37</f>
        <v>13.2213218135379</v>
      </c>
    </row>
    <row r="40" ht="20.05" customHeight="1">
      <c r="A40" t="s" s="10">
        <v>33</v>
      </c>
      <c r="B40" s="17"/>
      <c r="C40" s="18"/>
      <c r="D40" s="18"/>
      <c r="E40" s="18">
        <v>17</v>
      </c>
    </row>
    <row r="41" ht="20.05" customHeight="1">
      <c r="A41" t="s" s="10">
        <v>34</v>
      </c>
      <c r="B41" s="17"/>
      <c r="C41" s="18"/>
      <c r="D41" s="18"/>
      <c r="E41" s="18">
        <f>E37*E40</f>
        <v>1093.141363416350</v>
      </c>
    </row>
    <row r="42" ht="20.05" customHeight="1">
      <c r="A42" t="s" s="10">
        <v>35</v>
      </c>
      <c r="B42" s="17"/>
      <c r="C42" s="18"/>
      <c r="D42" s="18"/>
      <c r="E42" s="14">
        <f>(E33/1000000000)/E44</f>
        <v>15.660900352</v>
      </c>
    </row>
    <row r="43" ht="20.05" customHeight="1">
      <c r="A43" t="s" s="10">
        <v>36</v>
      </c>
      <c r="B43" s="17"/>
      <c r="C43" s="18"/>
      <c r="D43" s="18"/>
      <c r="E43" s="14">
        <f>(E41/E42)*E31</f>
        <v>977.209403281497</v>
      </c>
    </row>
    <row r="44" ht="20.05" customHeight="1">
      <c r="A44" t="s" s="10">
        <v>37</v>
      </c>
      <c r="B44" s="17"/>
      <c r="C44" s="18"/>
      <c r="D44" s="18"/>
      <c r="E44" s="14">
        <v>760</v>
      </c>
    </row>
    <row r="45" ht="20.05" customHeight="1">
      <c r="A45" t="s" s="10">
        <v>38</v>
      </c>
      <c r="B45" s="17"/>
      <c r="C45" s="18"/>
      <c r="D45" s="18"/>
      <c r="E45" s="16">
        <f>E43/E44-1</f>
        <v>0.285801846423022</v>
      </c>
    </row>
    <row r="46" ht="20.05" customHeight="1">
      <c r="A46" t="s" s="10">
        <v>39</v>
      </c>
      <c r="B46" s="17"/>
      <c r="C46" s="18"/>
      <c r="D46" s="18"/>
      <c r="E46" s="16">
        <f>'Data'!L19/'Data'!L15-1</f>
        <v>0.218720930232558</v>
      </c>
    </row>
    <row r="47" ht="20.05" customHeight="1">
      <c r="A47" t="s" s="10">
        <v>40</v>
      </c>
      <c r="B47" s="17"/>
      <c r="C47" s="18"/>
      <c r="D47" s="18"/>
      <c r="E47" s="16">
        <f>('Data'!M18+'Data'!M19)/('Data'!L18+'Data'!L19)-1</f>
        <v>0.0589603647416413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AI2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125" style="21" customWidth="1"/>
    <col min="2" max="2" width="9.48438" style="21" customWidth="1"/>
    <col min="3" max="23" width="9.29688" style="21" customWidth="1"/>
    <col min="24" max="24" width="8.40625" style="21" customWidth="1"/>
    <col min="25" max="35" width="9.29688" style="21" customWidth="1"/>
    <col min="36" max="16384" width="16.3516" style="21" customWidth="1"/>
  </cols>
  <sheetData>
    <row r="1" ht="42.65" customHeight="1"/>
    <row r="2" ht="27.65" customHeight="1">
      <c r="B2" t="s" s="2">
        <v>41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ht="32.25" customHeight="1">
      <c r="B3" t="s" s="5">
        <v>1</v>
      </c>
      <c r="C3" t="s" s="5">
        <v>42</v>
      </c>
      <c r="D3" t="s" s="5">
        <v>43</v>
      </c>
      <c r="E3" t="s" s="5">
        <v>44</v>
      </c>
      <c r="F3" t="s" s="5">
        <v>22</v>
      </c>
      <c r="G3" t="s" s="5">
        <v>10</v>
      </c>
      <c r="H3" t="s" s="5">
        <v>11</v>
      </c>
      <c r="I3" t="s" s="5">
        <v>24</v>
      </c>
      <c r="J3" t="s" s="5">
        <v>25</v>
      </c>
      <c r="K3" t="s" s="5">
        <v>33</v>
      </c>
      <c r="L3" t="s" s="5">
        <v>5</v>
      </c>
      <c r="M3" t="s" s="5">
        <v>45</v>
      </c>
      <c r="N3" t="s" s="5">
        <v>4</v>
      </c>
      <c r="O3" t="s" s="5">
        <v>18</v>
      </c>
      <c r="P3" t="s" s="5">
        <v>46</v>
      </c>
      <c r="Q3" t="s" s="5">
        <v>6</v>
      </c>
      <c r="R3" t="s" s="5">
        <v>6</v>
      </c>
      <c r="S3" t="s" s="5">
        <v>33</v>
      </c>
      <c r="T3" t="s" s="5">
        <v>47</v>
      </c>
      <c r="U3" t="s" s="5">
        <v>48</v>
      </c>
      <c r="V3" t="s" s="5">
        <v>8</v>
      </c>
      <c r="W3" t="s" s="5">
        <v>49</v>
      </c>
      <c r="X3" t="s" s="5">
        <v>50</v>
      </c>
      <c r="Y3" t="s" s="5">
        <v>10</v>
      </c>
      <c r="Z3" t="s" s="5">
        <v>11</v>
      </c>
      <c r="AA3" t="s" s="5">
        <v>51</v>
      </c>
      <c r="AB3" t="s" s="5">
        <v>52</v>
      </c>
      <c r="AC3" t="s" s="5">
        <v>53</v>
      </c>
      <c r="AD3" t="s" s="5">
        <v>33</v>
      </c>
      <c r="AE3" t="s" s="5">
        <v>28</v>
      </c>
      <c r="AF3" t="s" s="5">
        <v>33</v>
      </c>
      <c r="AG3" t="s" s="5">
        <v>54</v>
      </c>
      <c r="AH3" t="s" s="5">
        <v>55</v>
      </c>
      <c r="AI3" t="s" s="5">
        <v>56</v>
      </c>
    </row>
    <row r="4" ht="20.25" customHeight="1">
      <c r="B4" s="22">
        <v>2018</v>
      </c>
      <c r="C4" s="23">
        <v>63.2</v>
      </c>
      <c r="D4" s="24">
        <v>863</v>
      </c>
      <c r="E4" s="24">
        <f>D4-C4</f>
        <v>799.8</v>
      </c>
      <c r="F4" s="24"/>
      <c r="G4" s="24">
        <v>598</v>
      </c>
      <c r="H4" s="24">
        <v>265</v>
      </c>
      <c r="I4" s="24">
        <f>G4+H4-D4</f>
        <v>0</v>
      </c>
      <c r="J4" s="24">
        <f>C4-G4</f>
        <v>-534.8</v>
      </c>
      <c r="K4" s="24"/>
      <c r="L4" s="24">
        <v>13.6</v>
      </c>
      <c r="M4" s="24"/>
      <c r="N4" s="25"/>
      <c r="O4" s="24">
        <v>2.9</v>
      </c>
      <c r="P4" s="24">
        <v>4.75</v>
      </c>
      <c r="Q4" s="25">
        <f>(O4+P4-L4)/L4</f>
        <v>-0.4375</v>
      </c>
      <c r="R4" s="25"/>
      <c r="S4" s="25"/>
      <c r="T4" s="25">
        <f>(V4+X4-U4)/U4</f>
        <v>-0.936542056074766</v>
      </c>
      <c r="U4" s="24">
        <v>10.7</v>
      </c>
      <c r="V4" s="24">
        <v>0.679</v>
      </c>
      <c r="W4" s="24">
        <v>-18.8</v>
      </c>
      <c r="X4" s="24">
        <v>0</v>
      </c>
      <c r="Y4" s="24"/>
      <c r="Z4" s="24"/>
      <c r="AA4" s="24">
        <v>41.5</v>
      </c>
      <c r="AB4" s="24">
        <f>SUM(V4:X4)</f>
        <v>-18.121</v>
      </c>
      <c r="AC4" s="24"/>
      <c r="AD4" s="24"/>
      <c r="AE4" s="24">
        <f>-(AA4-X4)</f>
        <v>-41.5</v>
      </c>
      <c r="AF4" s="24"/>
      <c r="AG4" s="24">
        <v>300</v>
      </c>
      <c r="AH4" s="24"/>
      <c r="AI4" s="24"/>
    </row>
    <row r="5" ht="20.05" customHeight="1">
      <c r="B5" s="26"/>
      <c r="C5" s="13">
        <v>86</v>
      </c>
      <c r="D5" s="14">
        <v>877</v>
      </c>
      <c r="E5" s="14">
        <f>D5-C5</f>
        <v>791</v>
      </c>
      <c r="F5" s="14"/>
      <c r="G5" s="14">
        <v>610</v>
      </c>
      <c r="H5" s="14">
        <v>267</v>
      </c>
      <c r="I5" s="14">
        <f>G5+H5-D5</f>
        <v>0</v>
      </c>
      <c r="J5" s="14">
        <f>C5-G5</f>
        <v>-524</v>
      </c>
      <c r="K5" s="14"/>
      <c r="L5" s="14">
        <v>9.6</v>
      </c>
      <c r="M5" s="14"/>
      <c r="N5" s="16">
        <f>L5/L4-1</f>
        <v>-0.294117647058824</v>
      </c>
      <c r="O5" s="14">
        <v>0.64</v>
      </c>
      <c r="P5" s="14">
        <v>4.75</v>
      </c>
      <c r="Q5" s="16">
        <f>(O5+P5-L5)/L5</f>
        <v>-0.438541666666667</v>
      </c>
      <c r="R5" s="16">
        <f>AVERAGE(Q3:Q5)</f>
        <v>-0.438020833333334</v>
      </c>
      <c r="S5" s="16"/>
      <c r="T5" s="16">
        <f>(V5+X5-U5)/U5</f>
        <v>-0.833730715287518</v>
      </c>
      <c r="U5" s="14">
        <v>14.26</v>
      </c>
      <c r="V5" s="14">
        <v>5.271</v>
      </c>
      <c r="W5" s="14">
        <v>-34.1</v>
      </c>
      <c r="X5" s="14">
        <v>-2.9</v>
      </c>
      <c r="Y5" s="14"/>
      <c r="Z5" s="14"/>
      <c r="AA5" s="14">
        <v>51.6</v>
      </c>
      <c r="AB5" s="14">
        <f>SUM(V5:X5)</f>
        <v>-31.729</v>
      </c>
      <c r="AC5" s="14"/>
      <c r="AD5" s="14"/>
      <c r="AE5" s="14">
        <f>-(AA5-X5)+AE4</f>
        <v>-96</v>
      </c>
      <c r="AF5" s="14"/>
      <c r="AG5" s="14">
        <v>252</v>
      </c>
      <c r="AH5" s="14"/>
      <c r="AI5" s="14"/>
    </row>
    <row r="6" ht="20.05" customHeight="1">
      <c r="B6" s="26"/>
      <c r="C6" s="13">
        <v>90.3</v>
      </c>
      <c r="D6" s="14">
        <v>897.4</v>
      </c>
      <c r="E6" s="14">
        <f>D6-C6</f>
        <v>807.1</v>
      </c>
      <c r="F6" s="14"/>
      <c r="G6" s="14">
        <v>608</v>
      </c>
      <c r="H6" s="14">
        <v>289.5</v>
      </c>
      <c r="I6" s="14">
        <f>G6+H6-D6</f>
        <v>0.1</v>
      </c>
      <c r="J6" s="14">
        <f>C6-G6</f>
        <v>-517.7</v>
      </c>
      <c r="K6" s="14"/>
      <c r="L6" s="14">
        <v>51.3</v>
      </c>
      <c r="M6" s="14"/>
      <c r="N6" s="16">
        <f>L6/L5-1</f>
        <v>4.34375</v>
      </c>
      <c r="O6" s="14">
        <v>11.86</v>
      </c>
      <c r="P6" s="14">
        <v>4.75</v>
      </c>
      <c r="Q6" s="16">
        <f>(O6+P6-L6)/L6</f>
        <v>-0.6762183235867451</v>
      </c>
      <c r="R6" s="16">
        <f>AVERAGE(Q3:Q6)</f>
        <v>-0.517419996751137</v>
      </c>
      <c r="S6" s="16"/>
      <c r="T6" s="16">
        <f>(V6+X6-U6)/U6</f>
        <v>-1.28272101033295</v>
      </c>
      <c r="U6" s="14">
        <v>34.84</v>
      </c>
      <c r="V6" s="14">
        <v>-8.85</v>
      </c>
      <c r="W6" s="14">
        <v>-1.3</v>
      </c>
      <c r="X6" s="14">
        <v>-1</v>
      </c>
      <c r="Y6" s="14"/>
      <c r="Z6" s="14"/>
      <c r="AA6" s="14">
        <v>14.5</v>
      </c>
      <c r="AB6" s="14">
        <f>SUM(V6:X6)</f>
        <v>-11.15</v>
      </c>
      <c r="AC6" s="14">
        <f>AVERAGE(AB3:AB6)</f>
        <v>-20.3333333333333</v>
      </c>
      <c r="AD6" s="14"/>
      <c r="AE6" s="14">
        <f>-(AA6-X6)+AE5</f>
        <v>-111.5</v>
      </c>
      <c r="AF6" s="14"/>
      <c r="AG6" s="14">
        <v>300</v>
      </c>
      <c r="AH6" s="14"/>
      <c r="AI6" s="14"/>
    </row>
    <row r="7" ht="20.05" customHeight="1">
      <c r="B7" s="26"/>
      <c r="C7" s="13">
        <v>105.4</v>
      </c>
      <c r="D7" s="14">
        <v>924.5</v>
      </c>
      <c r="E7" s="14">
        <f>D7-C7</f>
        <v>819.1</v>
      </c>
      <c r="F7" s="14"/>
      <c r="G7" s="14">
        <v>601</v>
      </c>
      <c r="H7" s="14">
        <v>323.7</v>
      </c>
      <c r="I7" s="14">
        <f>G7+H7-D7</f>
        <v>0.2</v>
      </c>
      <c r="J7" s="14">
        <f>C7-G7</f>
        <v>-495.6</v>
      </c>
      <c r="K7" s="14"/>
      <c r="L7" s="14">
        <v>73.5</v>
      </c>
      <c r="M7" s="14"/>
      <c r="N7" s="16">
        <f>L7/L6-1</f>
        <v>0.432748538011696</v>
      </c>
      <c r="O7" s="14">
        <v>36.7</v>
      </c>
      <c r="P7" s="14">
        <v>4.75</v>
      </c>
      <c r="Q7" s="16">
        <f>(O7+P7-L7)/L7</f>
        <v>-0.436054421768707</v>
      </c>
      <c r="R7" s="16">
        <f>AVERAGE(Q4:Q7)</f>
        <v>-0.49707860300553</v>
      </c>
      <c r="S7" s="16"/>
      <c r="T7" s="16">
        <f>(V7+X7-U7)/U7</f>
        <v>-0.984635083226633</v>
      </c>
      <c r="U7" s="14">
        <v>78.09999999999999</v>
      </c>
      <c r="V7" s="14">
        <v>31</v>
      </c>
      <c r="W7" s="14">
        <v>17.3</v>
      </c>
      <c r="X7" s="14">
        <v>-29.8</v>
      </c>
      <c r="Y7" s="14"/>
      <c r="Z7" s="14"/>
      <c r="AA7" s="14">
        <v>-32.3</v>
      </c>
      <c r="AB7" s="14">
        <f>SUM(V7:X7)</f>
        <v>18.5</v>
      </c>
      <c r="AC7" s="14">
        <f>AVERAGE(AB4:AB7)</f>
        <v>-10.625</v>
      </c>
      <c r="AD7" s="14"/>
      <c r="AE7" s="14">
        <f>-(AA7-X7)+AE6</f>
        <v>-109</v>
      </c>
      <c r="AF7" s="14"/>
      <c r="AG7" s="14">
        <v>406</v>
      </c>
      <c r="AH7" s="14"/>
      <c r="AI7" s="14"/>
    </row>
    <row r="8" ht="20.05" customHeight="1">
      <c r="B8" s="27">
        <v>2019</v>
      </c>
      <c r="C8" s="13">
        <v>120.6</v>
      </c>
      <c r="D8" s="14">
        <v>933.5</v>
      </c>
      <c r="E8" s="14">
        <f>D8-C8</f>
        <v>812.9</v>
      </c>
      <c r="F8" s="14"/>
      <c r="G8" s="14">
        <v>603</v>
      </c>
      <c r="H8" s="14">
        <v>330.4</v>
      </c>
      <c r="I8" s="14">
        <f>G8+H8-D8</f>
        <v>-0.1</v>
      </c>
      <c r="J8" s="14">
        <f>C8-G8</f>
        <v>-482.4</v>
      </c>
      <c r="K8" s="14"/>
      <c r="L8" s="14">
        <v>58.1</v>
      </c>
      <c r="M8" s="14"/>
      <c r="N8" s="16">
        <f>L8/L7-1</f>
        <v>-0.20952380952381</v>
      </c>
      <c r="O8" s="14">
        <v>7.2</v>
      </c>
      <c r="P8" s="14">
        <v>11.7</v>
      </c>
      <c r="Q8" s="16">
        <f>(O8+P8-L8)/L8</f>
        <v>-0.674698795180723</v>
      </c>
      <c r="R8" s="16">
        <f>AVERAGE(Q5:Q8)</f>
        <v>-0.556378301800711</v>
      </c>
      <c r="S8" s="16"/>
      <c r="T8" s="16">
        <f>(V8+X8-U8)/U8</f>
        <v>-0.68026101141925</v>
      </c>
      <c r="U8" s="14">
        <v>61.3</v>
      </c>
      <c r="V8" s="14">
        <v>21.6</v>
      </c>
      <c r="W8" s="14">
        <v>-1.1</v>
      </c>
      <c r="X8" s="14">
        <v>-2</v>
      </c>
      <c r="Y8" s="14"/>
      <c r="Z8" s="14"/>
      <c r="AA8" s="14">
        <v>-5.2</v>
      </c>
      <c r="AB8" s="14">
        <f>SUM(V8:X8)</f>
        <v>18.5</v>
      </c>
      <c r="AC8" s="14">
        <f>AVERAGE(AB5:AB8)</f>
        <v>-1.46975</v>
      </c>
      <c r="AD8" s="14"/>
      <c r="AE8" s="14">
        <f>-(AA8-X8)+AE7</f>
        <v>-105.8</v>
      </c>
      <c r="AF8" s="14"/>
      <c r="AG8" s="14">
        <v>362</v>
      </c>
      <c r="AH8" s="14"/>
      <c r="AI8" s="14"/>
    </row>
    <row r="9" ht="20.05" customHeight="1">
      <c r="B9" s="26"/>
      <c r="C9" s="13">
        <v>143.4</v>
      </c>
      <c r="D9" s="14">
        <v>931.8</v>
      </c>
      <c r="E9" s="14">
        <f>D9-C9</f>
        <v>788.4</v>
      </c>
      <c r="F9" s="14"/>
      <c r="G9" s="14">
        <v>697</v>
      </c>
      <c r="H9" s="14">
        <v>325.2</v>
      </c>
      <c r="I9" s="14">
        <f>G9+H9-D9</f>
        <v>90.40000000000001</v>
      </c>
      <c r="J9" s="14">
        <f>C9-G9</f>
        <v>-553.6</v>
      </c>
      <c r="K9" s="14"/>
      <c r="L9" s="14">
        <v>58.8</v>
      </c>
      <c r="M9" s="14"/>
      <c r="N9" s="16">
        <f>L9/L8-1</f>
        <v>0.0120481927710843</v>
      </c>
      <c r="O9" s="14">
        <v>-1.9</v>
      </c>
      <c r="P9" s="14">
        <v>11.7</v>
      </c>
      <c r="Q9" s="16">
        <f>(O9+P9-L9)/L9</f>
        <v>-0.833333333333333</v>
      </c>
      <c r="R9" s="16">
        <f>AVERAGE(Q6:Q9)</f>
        <v>-0.655076218467377</v>
      </c>
      <c r="S9" s="16"/>
      <c r="T9" s="16">
        <f>(V9+X9-U9)/U9</f>
        <v>-0.704830053667263</v>
      </c>
      <c r="U9" s="14">
        <v>55.9</v>
      </c>
      <c r="V9" s="14">
        <v>31.4</v>
      </c>
      <c r="W9" s="14">
        <v>-1.9</v>
      </c>
      <c r="X9" s="14">
        <v>-14.9</v>
      </c>
      <c r="Y9" s="14"/>
      <c r="Z9" s="14"/>
      <c r="AA9" s="14">
        <v>-6.8</v>
      </c>
      <c r="AB9" s="14">
        <f>SUM(V9:X9)</f>
        <v>14.6</v>
      </c>
      <c r="AC9" s="14">
        <f>AVERAGE(AB6:AB9)</f>
        <v>10.1125</v>
      </c>
      <c r="AD9" s="14"/>
      <c r="AE9" s="14">
        <f>-(AA9-X9)+AE8</f>
        <v>-113.9</v>
      </c>
      <c r="AF9" s="14"/>
      <c r="AG9" s="14">
        <v>292</v>
      </c>
      <c r="AH9" s="14"/>
      <c r="AI9" s="14"/>
    </row>
    <row r="10" ht="20.05" customHeight="1">
      <c r="B10" s="26"/>
      <c r="C10" s="13">
        <v>156.4</v>
      </c>
      <c r="D10" s="14">
        <v>935.1</v>
      </c>
      <c r="E10" s="14">
        <f>D10-C10</f>
        <v>778.7</v>
      </c>
      <c r="F10" s="14"/>
      <c r="G10" s="14">
        <v>610</v>
      </c>
      <c r="H10" s="14">
        <v>325.4</v>
      </c>
      <c r="I10" s="14">
        <f>G10+H10-D10</f>
        <v>0.3</v>
      </c>
      <c r="J10" s="14">
        <f>C10-G10</f>
        <v>-453.6</v>
      </c>
      <c r="K10" s="14"/>
      <c r="L10" s="14">
        <v>51.5</v>
      </c>
      <c r="M10" s="14"/>
      <c r="N10" s="16">
        <f>L10/L9-1</f>
        <v>-0.124149659863946</v>
      </c>
      <c r="O10" s="14">
        <v>-0.7</v>
      </c>
      <c r="P10" s="14">
        <v>11.7</v>
      </c>
      <c r="Q10" s="16">
        <f>(O10+P10-L10)/L10</f>
        <v>-0.786407766990291</v>
      </c>
      <c r="R10" s="16">
        <f>AVERAGE(Q7:Q10)</f>
        <v>-0.682623579318264</v>
      </c>
      <c r="S10" s="16"/>
      <c r="T10" s="16">
        <f>(V10+X10-U10)/U10</f>
        <v>-0.700186219739292</v>
      </c>
      <c r="U10" s="14">
        <v>53.7</v>
      </c>
      <c r="V10" s="14">
        <v>16.7</v>
      </c>
      <c r="W10" s="14">
        <v>2.2</v>
      </c>
      <c r="X10" s="14">
        <v>-0.6</v>
      </c>
      <c r="Y10" s="14"/>
      <c r="Z10" s="14"/>
      <c r="AA10" s="14">
        <v>-5.8</v>
      </c>
      <c r="AB10" s="14">
        <f>SUM(V10:X10)</f>
        <v>18.3</v>
      </c>
      <c r="AC10" s="14">
        <f>AVERAGE(AB7:AB10)</f>
        <v>17.475</v>
      </c>
      <c r="AD10" s="14"/>
      <c r="AE10" s="14">
        <f>-(AA10-X10)+AE9</f>
        <v>-108.7</v>
      </c>
      <c r="AF10" s="14"/>
      <c r="AG10" s="14">
        <v>306</v>
      </c>
      <c r="AH10" s="14"/>
      <c r="AI10" s="14"/>
    </row>
    <row r="11" ht="20.05" customHeight="1">
      <c r="B11" s="26"/>
      <c r="C11" s="13">
        <v>147.3</v>
      </c>
      <c r="D11" s="14">
        <v>895.3</v>
      </c>
      <c r="E11" s="14">
        <f>D11-C11</f>
        <v>748</v>
      </c>
      <c r="F11" s="14"/>
      <c r="G11" s="14">
        <v>586.9</v>
      </c>
      <c r="H11" s="14">
        <v>308.4</v>
      </c>
      <c r="I11" s="14">
        <f>G11+H11-D11</f>
        <v>0</v>
      </c>
      <c r="J11" s="14">
        <f>C11-G11</f>
        <v>-439.6</v>
      </c>
      <c r="K11" s="14"/>
      <c r="L11" s="14">
        <v>53.5</v>
      </c>
      <c r="M11" s="14"/>
      <c r="N11" s="16">
        <f>L11/L10-1</f>
        <v>0.0388349514563107</v>
      </c>
      <c r="O11" s="14">
        <v>-4.011</v>
      </c>
      <c r="P11" s="14">
        <v>11.7</v>
      </c>
      <c r="Q11" s="16">
        <f>(O11+P11-L11)/L11</f>
        <v>-0.856280373831776</v>
      </c>
      <c r="R11" s="16">
        <f>AVERAGE(Q8:Q11)</f>
        <v>-0.787680067334031</v>
      </c>
      <c r="S11" s="16"/>
      <c r="T11" s="16">
        <f>(V11+X11-U11)/U11</f>
        <v>-0.933786078098472</v>
      </c>
      <c r="U11" s="14">
        <v>58.9</v>
      </c>
      <c r="V11" s="14">
        <v>18</v>
      </c>
      <c r="W11" s="14">
        <v>51.8</v>
      </c>
      <c r="X11" s="14">
        <v>-14.1</v>
      </c>
      <c r="Y11" s="14"/>
      <c r="Z11" s="14"/>
      <c r="AA11" s="14">
        <v>-79.09999999999999</v>
      </c>
      <c r="AB11" s="14">
        <f>SUM(V11:X11)</f>
        <v>55.7</v>
      </c>
      <c r="AC11" s="14">
        <f>AVERAGE(AB8:AB11)</f>
        <v>26.775</v>
      </c>
      <c r="AD11" s="14"/>
      <c r="AE11" s="14">
        <f>-(AA11-X11)+AE10</f>
        <v>-43.7</v>
      </c>
      <c r="AF11" s="14"/>
      <c r="AG11" s="14">
        <v>234</v>
      </c>
      <c r="AH11" s="14"/>
      <c r="AI11" s="14"/>
    </row>
    <row r="12" ht="20.05" customHeight="1">
      <c r="B12" s="27">
        <v>2020</v>
      </c>
      <c r="C12" s="13">
        <v>162.6</v>
      </c>
      <c r="D12" s="14">
        <v>902</v>
      </c>
      <c r="E12" s="14">
        <f>D12-C12</f>
        <v>739.4</v>
      </c>
      <c r="F12" s="14"/>
      <c r="G12" s="14">
        <v>596</v>
      </c>
      <c r="H12" s="14">
        <v>306</v>
      </c>
      <c r="I12" s="14">
        <f>G12+H12-D12</f>
        <v>0</v>
      </c>
      <c r="J12" s="14">
        <f>C12-G12</f>
        <v>-433.4</v>
      </c>
      <c r="K12" s="14"/>
      <c r="L12" s="14">
        <v>62.9</v>
      </c>
      <c r="M12" s="14"/>
      <c r="N12" s="16">
        <f>L12/L11-1</f>
        <v>0.175700934579439</v>
      </c>
      <c r="O12" s="14">
        <v>0.276</v>
      </c>
      <c r="P12" s="14">
        <v>11.825</v>
      </c>
      <c r="Q12" s="16">
        <f>(O12+P12-L12)/L12</f>
        <v>-0.807615262321145</v>
      </c>
      <c r="R12" s="16">
        <f>AVERAGE(Q9:Q12)</f>
        <v>-0.820909184119136</v>
      </c>
      <c r="S12" s="16"/>
      <c r="T12" s="16">
        <f>(V12+X12-U12)/U12</f>
        <v>-0.6497277676951</v>
      </c>
      <c r="U12" s="14">
        <v>55.1</v>
      </c>
      <c r="V12" s="14">
        <v>20.3</v>
      </c>
      <c r="W12" s="14">
        <v>-2.5</v>
      </c>
      <c r="X12" s="14">
        <v>-1</v>
      </c>
      <c r="Y12" s="14">
        <v>-1.4</v>
      </c>
      <c r="Z12" s="14">
        <v>0</v>
      </c>
      <c r="AA12" s="14">
        <v>-2.4</v>
      </c>
      <c r="AB12" s="14">
        <f>SUM(V12:X12)</f>
        <v>16.8</v>
      </c>
      <c r="AC12" s="14">
        <f>AVERAGE(AB9:AB12)</f>
        <v>26.35</v>
      </c>
      <c r="AD12" s="14"/>
      <c r="AE12" s="14">
        <f>-(Y12+Z12)+AE11</f>
        <v>-42.3</v>
      </c>
      <c r="AF12" s="14"/>
      <c r="AG12" s="14">
        <v>150</v>
      </c>
      <c r="AH12" s="14"/>
      <c r="AI12" s="14"/>
    </row>
    <row r="13" ht="20.05" customHeight="1">
      <c r="B13" s="26"/>
      <c r="C13" s="13">
        <v>131.4</v>
      </c>
      <c r="D13" s="14">
        <v>856.7</v>
      </c>
      <c r="E13" s="14">
        <f>D13-C13</f>
        <v>725.3</v>
      </c>
      <c r="F13" s="14"/>
      <c r="G13" s="14">
        <v>563.4</v>
      </c>
      <c r="H13" s="14">
        <v>293.3</v>
      </c>
      <c r="I13" s="14">
        <f>G13+H13-D13</f>
        <v>0</v>
      </c>
      <c r="J13" s="14">
        <f>C13-G13</f>
        <v>-432</v>
      </c>
      <c r="K13" s="14"/>
      <c r="L13" s="14">
        <v>32.9</v>
      </c>
      <c r="M13" s="14"/>
      <c r="N13" s="16">
        <f>L13/L12-1</f>
        <v>-0.476947535771065</v>
      </c>
      <c r="O13" s="14">
        <v>-12.976</v>
      </c>
      <c r="P13" s="14">
        <v>11.825</v>
      </c>
      <c r="Q13" s="16">
        <f>(O13+P13-L13)/L13</f>
        <v>-1.03498480243161</v>
      </c>
      <c r="R13" s="16">
        <f>AVERAGE(Q10:Q13)</f>
        <v>-0.871322051393706</v>
      </c>
      <c r="S13" s="16"/>
      <c r="T13" s="16">
        <f>(V13+X13-U13)/U13</f>
        <v>-1.10884353741497</v>
      </c>
      <c r="U13" s="14">
        <v>44.1</v>
      </c>
      <c r="V13" s="14">
        <v>8</v>
      </c>
      <c r="W13" s="14">
        <v>-1.5</v>
      </c>
      <c r="X13" s="14">
        <v>-12.8</v>
      </c>
      <c r="Y13" s="14">
        <f>-26.4-Y12</f>
        <v>-25</v>
      </c>
      <c r="Z13" s="14">
        <v>0</v>
      </c>
      <c r="AA13" s="14">
        <v>-37.6</v>
      </c>
      <c r="AB13" s="14">
        <f>SUM(V13:X13)</f>
        <v>-6.3</v>
      </c>
      <c r="AC13" s="14">
        <f>AVERAGE(AB10:AB13)</f>
        <v>21.125</v>
      </c>
      <c r="AD13" s="14"/>
      <c r="AE13" s="14">
        <f>-(Y13+Z13)+AE12</f>
        <v>-17.3</v>
      </c>
      <c r="AF13" s="14"/>
      <c r="AG13" s="14">
        <v>155</v>
      </c>
      <c r="AH13" s="14"/>
      <c r="AI13" s="14"/>
    </row>
    <row r="14" ht="20.05" customHeight="1">
      <c r="B14" s="26"/>
      <c r="C14" s="13">
        <v>128.3</v>
      </c>
      <c r="D14" s="14">
        <v>852.4</v>
      </c>
      <c r="E14" s="14">
        <f>D14-C14</f>
        <v>724.1</v>
      </c>
      <c r="F14" s="14"/>
      <c r="G14" s="14">
        <v>571.8</v>
      </c>
      <c r="H14" s="14">
        <v>280.6</v>
      </c>
      <c r="I14" s="14">
        <f>G14+H14-D14</f>
        <v>0</v>
      </c>
      <c r="J14" s="14">
        <f>C14-G14</f>
        <v>-443.5</v>
      </c>
      <c r="K14" s="14"/>
      <c r="L14" s="14">
        <v>28.1</v>
      </c>
      <c r="M14" s="14"/>
      <c r="N14" s="16">
        <f>L14/L13-1</f>
        <v>-0.145896656534954</v>
      </c>
      <c r="O14" s="14">
        <v>-13</v>
      </c>
      <c r="P14" s="14">
        <v>11.825</v>
      </c>
      <c r="Q14" s="16">
        <f>(O14+P14-L14)/L14</f>
        <v>-1.04181494661922</v>
      </c>
      <c r="R14" s="16">
        <f>AVERAGE(Q11:Q14)</f>
        <v>-0.935173846300938</v>
      </c>
      <c r="S14" s="16"/>
      <c r="T14" s="16">
        <f>(V14+X14-U14)/U14</f>
        <v>-1.03186193162961</v>
      </c>
      <c r="U14" s="14">
        <v>30.13</v>
      </c>
      <c r="V14" s="14">
        <v>0.24</v>
      </c>
      <c r="W14" s="14">
        <v>-1.5</v>
      </c>
      <c r="X14" s="14">
        <v>-1.2</v>
      </c>
      <c r="Y14" s="14">
        <f>-27-SUM(Y12:Y13)</f>
        <v>-0.6</v>
      </c>
      <c r="Z14" s="14">
        <v>0</v>
      </c>
      <c r="AA14" s="14">
        <v>21</v>
      </c>
      <c r="AB14" s="14">
        <f>SUM(V14:X14)</f>
        <v>-2.46</v>
      </c>
      <c r="AC14" s="14">
        <f>AVERAGE(AB11:AB14)</f>
        <v>15.935</v>
      </c>
      <c r="AD14" s="14"/>
      <c r="AE14" s="14">
        <f>-(Y14+Z14)+AE13</f>
        <v>-16.7</v>
      </c>
      <c r="AF14" s="14"/>
      <c r="AG14" s="14">
        <v>139</v>
      </c>
      <c r="AH14" s="14"/>
      <c r="AI14" s="14"/>
    </row>
    <row r="15" ht="20.05" customHeight="1">
      <c r="B15" s="26"/>
      <c r="C15" s="13">
        <v>74</v>
      </c>
      <c r="D15" s="14">
        <v>792</v>
      </c>
      <c r="E15" s="14">
        <f>D15-C15</f>
        <v>718</v>
      </c>
      <c r="F15" s="14">
        <v>101</v>
      </c>
      <c r="G15" s="14">
        <v>480</v>
      </c>
      <c r="H15" s="14">
        <v>312</v>
      </c>
      <c r="I15" s="14">
        <f>G15+H15-D15</f>
        <v>0</v>
      </c>
      <c r="J15" s="14">
        <f>C15-G15</f>
        <v>-406</v>
      </c>
      <c r="K15" s="14"/>
      <c r="L15" s="14">
        <v>51.6</v>
      </c>
      <c r="M15" s="14"/>
      <c r="N15" s="16">
        <f>L15/L14-1</f>
        <v>0.8362989323843421</v>
      </c>
      <c r="O15" s="14">
        <v>-7.9</v>
      </c>
      <c r="P15" s="14">
        <v>11.825</v>
      </c>
      <c r="Q15" s="16">
        <f>(O15+P15-L15)/L15</f>
        <v>-0.923934108527132</v>
      </c>
      <c r="R15" s="16">
        <f>AVERAGE(Q12:Q15)</f>
        <v>-0.952087279974777</v>
      </c>
      <c r="S15" s="16"/>
      <c r="T15" s="16">
        <f>(V15+X15-U15)/U15</f>
        <v>-0.882603320381491</v>
      </c>
      <c r="U15" s="14">
        <v>56.62</v>
      </c>
      <c r="V15" s="14">
        <v>18.337</v>
      </c>
      <c r="W15" s="14">
        <v>-55.6</v>
      </c>
      <c r="X15" s="14">
        <v>-11.69</v>
      </c>
      <c r="Y15" s="14">
        <f>-53.2+8-SUM(Y12:Y14)</f>
        <v>-18.2</v>
      </c>
      <c r="Z15" s="14">
        <f>13-SUM(Z12:Z14)</f>
        <v>13</v>
      </c>
      <c r="AA15" s="14">
        <v>-40.2</v>
      </c>
      <c r="AB15" s="14">
        <f>SUM(V15:X15)</f>
        <v>-48.953</v>
      </c>
      <c r="AC15" s="14">
        <f>AVERAGE(AB12:AB15)</f>
        <v>-10.22825</v>
      </c>
      <c r="AD15" s="14"/>
      <c r="AE15" s="14">
        <f>-(Y15+Z15)+AE14</f>
        <v>-11.5</v>
      </c>
      <c r="AF15" s="14"/>
      <c r="AG15" s="14">
        <v>191</v>
      </c>
      <c r="AH15" s="14"/>
      <c r="AI15" s="14"/>
    </row>
    <row r="16" ht="20.05" customHeight="1">
      <c r="B16" s="27">
        <v>2021</v>
      </c>
      <c r="C16" s="13">
        <v>596</v>
      </c>
      <c r="D16" s="14">
        <v>1319</v>
      </c>
      <c r="E16" s="14">
        <f>D16-C16</f>
        <v>723</v>
      </c>
      <c r="F16" s="14">
        <v>113</v>
      </c>
      <c r="G16" s="14">
        <v>997</v>
      </c>
      <c r="H16" s="14">
        <v>322</v>
      </c>
      <c r="I16" s="14">
        <f>G16+H16-D16</f>
        <v>0</v>
      </c>
      <c r="J16" s="14">
        <f>C16-G16</f>
        <v>-401</v>
      </c>
      <c r="K16" s="14"/>
      <c r="L16" s="14">
        <v>68.5</v>
      </c>
      <c r="M16" s="14"/>
      <c r="N16" s="16">
        <f>L16/L15-1</f>
        <v>0.327519379844961</v>
      </c>
      <c r="O16" s="14">
        <v>9.5</v>
      </c>
      <c r="P16" s="14">
        <v>12.45</v>
      </c>
      <c r="Q16" s="16">
        <f>(O16+P16-L16)/L16</f>
        <v>-0.67956204379562</v>
      </c>
      <c r="R16" s="16">
        <f>AVERAGE(Q13:Q16)</f>
        <v>-0.920073975343396</v>
      </c>
      <c r="S16" s="16"/>
      <c r="T16" s="16">
        <f>(V16+X16-U16)/U16</f>
        <v>-0.821643286573146</v>
      </c>
      <c r="U16" s="14">
        <v>49.9</v>
      </c>
      <c r="V16" s="14">
        <v>15.5</v>
      </c>
      <c r="W16" s="14">
        <v>-0.1</v>
      </c>
      <c r="X16" s="14">
        <v>-6.6</v>
      </c>
      <c r="Y16" s="14">
        <f>AA16-X16</f>
        <v>513.6</v>
      </c>
      <c r="Z16" s="14">
        <v>0</v>
      </c>
      <c r="AA16" s="14">
        <v>507</v>
      </c>
      <c r="AB16" s="14">
        <f>SUM(V16:X16)</f>
        <v>8.800000000000001</v>
      </c>
      <c r="AC16" s="14">
        <f>AVERAGE(AB13:AB16)</f>
        <v>-12.22825</v>
      </c>
      <c r="AD16" s="14"/>
      <c r="AE16" s="14">
        <f>-(Y16+Z16)+AE15</f>
        <v>-525.1</v>
      </c>
      <c r="AF16" s="14"/>
      <c r="AG16" s="14">
        <v>384</v>
      </c>
      <c r="AH16" s="14"/>
      <c r="AI16" s="14"/>
    </row>
    <row r="17" ht="20.05" customHeight="1">
      <c r="B17" s="26"/>
      <c r="C17" s="13">
        <v>57</v>
      </c>
      <c r="D17" s="14">
        <v>783</v>
      </c>
      <c r="E17" s="14">
        <f>D17-C17</f>
        <v>726</v>
      </c>
      <c r="F17" s="14">
        <v>126</v>
      </c>
      <c r="G17" s="14">
        <v>521</v>
      </c>
      <c r="H17" s="14">
        <v>262</v>
      </c>
      <c r="I17" s="14">
        <f>G17+H17-D17</f>
        <v>0</v>
      </c>
      <c r="J17" s="14">
        <f>C17-G17</f>
        <v>-464</v>
      </c>
      <c r="K17" s="14"/>
      <c r="L17" s="14">
        <f>138.9-L16</f>
        <v>70.40000000000001</v>
      </c>
      <c r="M17" s="14"/>
      <c r="N17" s="16">
        <f>L17/L16-1</f>
        <v>0.0277372262773723</v>
      </c>
      <c r="O17" s="14">
        <f>-21.3-O16</f>
        <v>-30.8</v>
      </c>
      <c r="P17" s="14">
        <v>36</v>
      </c>
      <c r="Q17" s="16">
        <f>(O17+P17-L17)/L17</f>
        <v>-0.926136363636364</v>
      </c>
      <c r="R17" s="16">
        <f>AVERAGE(Q14:Q17)</f>
        <v>-0.892861865644584</v>
      </c>
      <c r="S17" s="16"/>
      <c r="T17" s="16">
        <f>(V17+X17-U17)/U17</f>
        <v>-0.932568149210904</v>
      </c>
      <c r="U17" s="14">
        <f>119.6-U16</f>
        <v>69.7</v>
      </c>
      <c r="V17" s="14">
        <f>34.5-V16</f>
        <v>19</v>
      </c>
      <c r="W17" s="14">
        <f>-0.1-W16</f>
        <v>0</v>
      </c>
      <c r="X17" s="14">
        <f>-20.9-X16</f>
        <v>-14.3</v>
      </c>
      <c r="Y17" s="14">
        <f>AA17-X17</f>
        <v>-544.1</v>
      </c>
      <c r="Z17" s="14">
        <v>0</v>
      </c>
      <c r="AA17" s="14">
        <f>-51.4-AA16</f>
        <v>-558.4</v>
      </c>
      <c r="AB17" s="14">
        <f>SUM(V17:X17)</f>
        <v>4.7</v>
      </c>
      <c r="AC17" s="14">
        <f>AVERAGE(AB14:AB17)</f>
        <v>-9.478249999999999</v>
      </c>
      <c r="AD17" s="14"/>
      <c r="AE17" s="14">
        <f>-(Y17+Z17)+AE16</f>
        <v>19</v>
      </c>
      <c r="AF17" s="14"/>
      <c r="AG17" s="14">
        <v>442</v>
      </c>
      <c r="AH17" s="14"/>
      <c r="AI17" s="14"/>
    </row>
    <row r="18" ht="20.05" customHeight="1">
      <c r="B18" s="26"/>
      <c r="C18" s="13">
        <v>92.44499999999999</v>
      </c>
      <c r="D18" s="14">
        <v>811.664</v>
      </c>
      <c r="E18" s="14">
        <f>D18-C18</f>
        <v>719.2190000000001</v>
      </c>
      <c r="F18" s="14">
        <v>138.083</v>
      </c>
      <c r="G18" s="14">
        <v>520.734</v>
      </c>
      <c r="H18" s="14">
        <v>290.929</v>
      </c>
      <c r="I18" s="14">
        <f>G18+H18-D18</f>
        <v>-0.001</v>
      </c>
      <c r="J18" s="14">
        <f>C18-G18</f>
        <v>-428.289</v>
      </c>
      <c r="K18" s="14">
        <f>J18</f>
        <v>-428.289</v>
      </c>
      <c r="L18" s="14">
        <f>240.514-L17-L16</f>
        <v>101.614</v>
      </c>
      <c r="M18" s="14">
        <v>65.47199999999999</v>
      </c>
      <c r="N18" s="16">
        <f>L18/L17-1</f>
        <v>0.443380681818182</v>
      </c>
      <c r="O18" s="14">
        <f>7.725-O17-O16</f>
        <v>29.025</v>
      </c>
      <c r="P18" s="14">
        <f>61.673-P17-P16</f>
        <v>13.223</v>
      </c>
      <c r="Q18" s="16">
        <f>(O18+P18-L18)/L18</f>
        <v>-0.584230519416616</v>
      </c>
      <c r="R18" s="16">
        <f>AVERAGE(Q15:Q18)</f>
        <v>-0.778465758843933</v>
      </c>
      <c r="S18" s="16"/>
      <c r="T18" s="16">
        <f>(V18+X18-U18)/U18</f>
        <v>-0.897306203778212</v>
      </c>
      <c r="U18" s="14">
        <f>223.988-U17-U16</f>
        <v>104.388</v>
      </c>
      <c r="V18" s="14">
        <f>82.095-V17-V16</f>
        <v>47.595</v>
      </c>
      <c r="W18" s="14">
        <f>-1.466-W17-W16</f>
        <v>-1.366</v>
      </c>
      <c r="X18" s="14">
        <f>-57.775-X17-X16</f>
        <v>-36.875</v>
      </c>
      <c r="Y18" s="14">
        <f>-61.96-X18-X17-X16-Y17-Y16</f>
        <v>26.315</v>
      </c>
      <c r="Z18" s="14">
        <v>0</v>
      </c>
      <c r="AA18" s="14">
        <f>-61.96-AA17-AA16</f>
        <v>-10.56</v>
      </c>
      <c r="AB18" s="14">
        <f>SUM(V18:X18)</f>
        <v>9.353999999999999</v>
      </c>
      <c r="AC18" s="14">
        <f>AVERAGE(AB15:AB18)</f>
        <v>-6.52475</v>
      </c>
      <c r="AD18" s="14"/>
      <c r="AE18" s="14">
        <f>-(Y18+Z18)+AE17</f>
        <v>-7.315</v>
      </c>
      <c r="AF18" s="14"/>
      <c r="AG18" s="14">
        <v>304</v>
      </c>
      <c r="AH18" s="14"/>
      <c r="AI18" s="14"/>
    </row>
    <row r="19" ht="20.05" customHeight="1">
      <c r="B19" s="26"/>
      <c r="C19" s="13">
        <v>81</v>
      </c>
      <c r="D19" s="14">
        <v>809</v>
      </c>
      <c r="E19" s="14">
        <f>D19-C19</f>
        <v>728</v>
      </c>
      <c r="F19" s="14">
        <v>148</v>
      </c>
      <c r="G19" s="14">
        <v>508</v>
      </c>
      <c r="H19" s="14">
        <v>301</v>
      </c>
      <c r="I19" s="14">
        <f>G19+H19-D19</f>
        <v>0</v>
      </c>
      <c r="J19" s="14">
        <f>C19-G19</f>
        <v>-427</v>
      </c>
      <c r="K19" s="14">
        <f>J19</f>
        <v>-427</v>
      </c>
      <c r="L19" s="14">
        <f>303.4-SUM(L16:L18)</f>
        <v>62.886</v>
      </c>
      <c r="M19" s="14">
        <v>108.72698</v>
      </c>
      <c r="N19" s="16">
        <f>L19/L18-1</f>
        <v>-0.381128584643848</v>
      </c>
      <c r="O19" s="14">
        <f>14.3-SUM(O16:O18)</f>
        <v>6.575</v>
      </c>
      <c r="P19" s="14">
        <f>47.1-SUM(P16:P18)</f>
        <v>-14.573</v>
      </c>
      <c r="Q19" s="16">
        <f>(O19+P19-L19)/L19</f>
        <v>-1.12718252075184</v>
      </c>
      <c r="R19" s="16">
        <f>AVERAGE(Q16:Q19)</f>
        <v>-0.82927786190011</v>
      </c>
      <c r="S19" s="16">
        <f>R19</f>
        <v>-0.82927786190011</v>
      </c>
      <c r="T19" s="16">
        <f>(V19+X19-U19)/U19</f>
        <v>-1.00193510933368</v>
      </c>
      <c r="U19" s="14">
        <f>286-SUM(U16:U18)</f>
        <v>62.012</v>
      </c>
      <c r="V19" s="14">
        <f>92.3-SUM(V16:V18)</f>
        <v>10.205</v>
      </c>
      <c r="W19" s="14">
        <f>-1.7-SUM(W16:W18)</f>
        <v>-0.234</v>
      </c>
      <c r="X19" s="14">
        <f>-47.7-5.2-15.2-SUM(X16:X18)</f>
        <v>-10.325</v>
      </c>
      <c r="Y19" s="14">
        <f>557-532-3.4-36.6-SUM(Y16:Y18)</f>
        <v>-10.815</v>
      </c>
      <c r="Z19" s="14">
        <v>0</v>
      </c>
      <c r="AA19" s="14">
        <f>-83.5-SUM(AA16:AA18)</f>
        <v>-21.54</v>
      </c>
      <c r="AB19" s="14">
        <f>SUM(V19:X19)</f>
        <v>-0.354</v>
      </c>
      <c r="AC19" s="14">
        <f>AVERAGE(AB16:AB19)</f>
        <v>5.625</v>
      </c>
      <c r="AD19" s="14">
        <f>AC19</f>
        <v>5.625</v>
      </c>
      <c r="AE19" s="14">
        <f>-(Y19+Z19)+AE18</f>
        <v>3.5</v>
      </c>
      <c r="AF19" s="14">
        <f>AE19</f>
        <v>3.5</v>
      </c>
      <c r="AG19" s="14">
        <v>530</v>
      </c>
      <c r="AH19" s="14"/>
      <c r="AI19" s="14"/>
    </row>
    <row r="20" ht="20.05" customHeight="1">
      <c r="B20" s="27">
        <v>2022</v>
      </c>
      <c r="C20" s="13"/>
      <c r="D20" s="14"/>
      <c r="E20" s="14"/>
      <c r="F20" s="14"/>
      <c r="G20" s="14"/>
      <c r="H20" s="14"/>
      <c r="I20" s="14"/>
      <c r="J20" s="14"/>
      <c r="K20" s="14">
        <f>'Model'!E29</f>
        <v>-369.797711106479</v>
      </c>
      <c r="L20" s="14"/>
      <c r="M20" s="14">
        <f>'Model'!B5</f>
        <v>69.1746</v>
      </c>
      <c r="N20" s="16"/>
      <c r="O20" s="14"/>
      <c r="P20" s="14"/>
      <c r="Q20" s="28"/>
      <c r="R20" s="16"/>
      <c r="S20" s="16">
        <f>'Model'!B6</f>
        <v>-0.803871810372022</v>
      </c>
      <c r="T20" s="16"/>
      <c r="U20" s="14"/>
      <c r="V20" s="14"/>
      <c r="W20" s="14"/>
      <c r="X20" s="14"/>
      <c r="Y20" s="14"/>
      <c r="Z20" s="14"/>
      <c r="AA20" s="14"/>
      <c r="AB20" s="14"/>
      <c r="AC20" s="28"/>
      <c r="AD20" s="14">
        <f>'Model'!E8+'Model'!E9</f>
        <v>16.0756082855345</v>
      </c>
      <c r="AE20" s="28"/>
      <c r="AF20" s="14">
        <f>'Model'!E32</f>
        <v>61.9287654372456</v>
      </c>
      <c r="AG20" s="14">
        <v>760</v>
      </c>
      <c r="AH20" s="14">
        <f>AG20</f>
        <v>760</v>
      </c>
      <c r="AI20" s="14">
        <v>699</v>
      </c>
    </row>
    <row r="21" ht="20.05" customHeight="1">
      <c r="B21" s="26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>
        <f>'Model'!C5</f>
        <v>72.63333</v>
      </c>
      <c r="N21" s="14"/>
      <c r="O21" s="14"/>
      <c r="P21" s="14"/>
      <c r="Q21" s="16"/>
      <c r="R21" s="16"/>
      <c r="S21" s="16"/>
      <c r="T21" s="16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>
        <f>'Model'!E43</f>
        <v>977.209403281497</v>
      </c>
      <c r="AI21" s="14"/>
    </row>
    <row r="22" ht="20.05" customHeight="1">
      <c r="B22" s="26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>
        <f>'Model'!D5</f>
        <v>77.7176631</v>
      </c>
      <c r="N22" s="14"/>
      <c r="O22" s="14"/>
      <c r="P22" s="14"/>
      <c r="Q22" s="16"/>
      <c r="R22" s="16"/>
      <c r="S22" s="16"/>
      <c r="T22" s="16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ht="20.05" customHeight="1">
      <c r="B23" s="26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>
        <f>'Model'!E5</f>
        <v>83.157899517</v>
      </c>
      <c r="N23" s="14"/>
      <c r="O23" s="14"/>
      <c r="P23" s="14"/>
      <c r="Q23" s="16"/>
      <c r="R23" s="16"/>
      <c r="S23" s="16"/>
      <c r="T23" s="16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</sheetData>
  <mergeCells count="1">
    <mergeCell ref="B2:AI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