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Cash flow - Quarterly cash flow" sheetId="2" r:id="rId5"/>
    <sheet name="Balance sheet - Assets" sheetId="3" r:id="rId6"/>
    <sheet name="Balance sheet - Liabilities" sheetId="4" r:id="rId7"/>
    <sheet name="Balance sheet - Drawings" sheetId="5" r:id="rId8"/>
    <sheet name="Profit  - Quarterly profit" sheetId="6" r:id="rId9"/>
    <sheet name="Share price  - Monthly share pr" sheetId="7" r:id="rId10"/>
    <sheet name="Model - Financial model" sheetId="8" r:id="rId11"/>
    <sheet name="Valuation  - Valuation" sheetId="9" r:id="rId12"/>
  </sheets>
</workbook>
</file>

<file path=xl/sharedStrings.xml><?xml version="1.0" encoding="utf-8"?>
<sst xmlns="http://schemas.openxmlformats.org/spreadsheetml/2006/main" uniqueCount="100">
  <si>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</si>
  <si>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</si>
  <si>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</si>
  <si>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</si>
  <si>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Cash flow</t>
  </si>
  <si>
    <t>Quarterly cash flow</t>
  </si>
  <si>
    <t>Cash flow - Quarterly cash flow</t>
  </si>
  <si>
    <t>Rp bn</t>
  </si>
  <si>
    <t xml:space="preserve">Receipts </t>
  </si>
  <si>
    <t xml:space="preserve">Suppliers </t>
  </si>
  <si>
    <t xml:space="preserve">Working capital </t>
  </si>
  <si>
    <t xml:space="preserve">Operating </t>
  </si>
  <si>
    <t xml:space="preserve">Investment </t>
  </si>
  <si>
    <t xml:space="preserve">Finance </t>
  </si>
  <si>
    <t>Free cashflow</t>
  </si>
  <si>
    <t xml:space="preserve">Forecast </t>
  </si>
  <si>
    <t>Capital paid (raised)</t>
  </si>
  <si>
    <t>Balance sheet</t>
  </si>
  <si>
    <t>Assets</t>
  </si>
  <si>
    <t>Balance sheet - Assets</t>
  </si>
  <si>
    <t>Rpbn</t>
  </si>
  <si>
    <t>Cash</t>
  </si>
  <si>
    <t xml:space="preserve">ST assets </t>
  </si>
  <si>
    <t xml:space="preserve">Other ST assets </t>
  </si>
  <si>
    <t xml:space="preserve">LT assets </t>
  </si>
  <si>
    <t>Depreciation</t>
  </si>
  <si>
    <t>Net cash</t>
  </si>
  <si>
    <t>Liabilities</t>
  </si>
  <si>
    <t>Balance sheet - Liabilities</t>
  </si>
  <si>
    <t>ST debt</t>
  </si>
  <si>
    <t>LT debt</t>
  </si>
  <si>
    <t xml:space="preserve">ST liabilities </t>
  </si>
  <si>
    <t xml:space="preserve">LT liabilities </t>
  </si>
  <si>
    <t>Other ST liabilities</t>
  </si>
  <si>
    <t xml:space="preserve">Other LT liabilities </t>
  </si>
  <si>
    <t xml:space="preserve">Equity </t>
  </si>
  <si>
    <t>Check</t>
  </si>
  <si>
    <t>“All Drawings from the Sheet”</t>
  </si>
  <si>
    <t>Balance sheet - Drawings</t>
  </si>
  <si>
    <t xml:space="preserve">Profit </t>
  </si>
  <si>
    <t>Quarterly profit</t>
  </si>
  <si>
    <t>Profit  - Quarterly profit</t>
  </si>
  <si>
    <t>Samsung</t>
  </si>
  <si>
    <t>Xiaomi</t>
  </si>
  <si>
    <t>Apple</t>
  </si>
  <si>
    <t xml:space="preserve">Sales </t>
  </si>
  <si>
    <t xml:space="preserve">Depreciation </t>
  </si>
  <si>
    <t xml:space="preserve">Net profit </t>
  </si>
  <si>
    <t xml:space="preserve">Sales growth </t>
  </si>
  <si>
    <t>Cost ratio</t>
  </si>
  <si>
    <t xml:space="preserve">Share price </t>
  </si>
  <si>
    <t>Monthly share price</t>
  </si>
  <si>
    <t>Share price  - Monthly share pr</t>
  </si>
  <si>
    <t>Vol</t>
  </si>
  <si>
    <t>ERAA</t>
  </si>
  <si>
    <t>Target</t>
  </si>
  <si>
    <t>Model</t>
  </si>
  <si>
    <t>Financial model</t>
  </si>
  <si>
    <t>Model - Financial model</t>
  </si>
  <si>
    <t>4Q 2020</t>
  </si>
  <si>
    <t>1Q 2021</t>
  </si>
  <si>
    <t>2Q 2021</t>
  </si>
  <si>
    <t>3Q 2021</t>
  </si>
  <si>
    <t>Growth</t>
  </si>
  <si>
    <t>Total sales</t>
  </si>
  <si>
    <t>Costs ratio</t>
  </si>
  <si>
    <t>Cash costs</t>
  </si>
  <si>
    <t>Operating cash flow</t>
  </si>
  <si>
    <t>Investment cash flow</t>
  </si>
  <si>
    <t>Finance cash flow</t>
  </si>
  <si>
    <t>Debt</t>
  </si>
  <si>
    <t xml:space="preserve">Cash flow before revolver </t>
  </si>
  <si>
    <t>Revolver</t>
  </si>
  <si>
    <t>Beginning cash</t>
  </si>
  <si>
    <t>Change in cash</t>
  </si>
  <si>
    <t>Ending cash</t>
  </si>
  <si>
    <t>Profit</t>
  </si>
  <si>
    <t>Sales</t>
  </si>
  <si>
    <t>Other ST assets</t>
  </si>
  <si>
    <t>Net LT assets</t>
  </si>
  <si>
    <t xml:space="preserve">Revolver </t>
  </si>
  <si>
    <t>Total debt</t>
  </si>
  <si>
    <t xml:space="preserve">Other liabilities </t>
  </si>
  <si>
    <t>Equity</t>
  </si>
  <si>
    <t xml:space="preserve">Valuation </t>
  </si>
  <si>
    <t>Valuation</t>
  </si>
  <si>
    <t>Valuation  - Valuation</t>
  </si>
  <si>
    <t>Target value</t>
  </si>
  <si>
    <t>Discount x</t>
  </si>
  <si>
    <t>Adjusted value</t>
  </si>
  <si>
    <t>Shares</t>
  </si>
  <si>
    <t>Target price</t>
  </si>
  <si>
    <t>Current value</t>
  </si>
  <si>
    <t>P/Sales</t>
  </si>
  <si>
    <t>P/assets</t>
  </si>
  <si>
    <t>P/equity</t>
  </si>
  <si>
    <t>Profitability</t>
  </si>
  <si>
    <t>Sales growth</t>
  </si>
  <si>
    <t>Profit growth</t>
  </si>
  <si>
    <t>Yield</t>
  </si>
</sst>
</file>

<file path=xl/styles.xml><?xml version="1.0" encoding="utf-8"?>
<styleSheet xmlns="http://schemas.openxmlformats.org/spreadsheetml/2006/main">
  <numFmts count="9">
    <numFmt numFmtId="0" formatCode="General"/>
    <numFmt numFmtId="59" formatCode="#,##0.0%_);[Red]\(#,##0.0%\)"/>
    <numFmt numFmtId="60" formatCode="#,##0%_);[Red]\(#,##0%\)"/>
    <numFmt numFmtId="61" formatCode="0_);[Red]\(0\)"/>
    <numFmt numFmtId="62" formatCode="0%_);[Red]\(0%\)"/>
    <numFmt numFmtId="63" formatCode="#,##0.0_);[Red]\(#,##0.0\)"/>
    <numFmt numFmtId="64" formatCode="0.0%"/>
    <numFmt numFmtId="65" formatCode="0.000"/>
    <numFmt numFmtId="66" formatCode="#,##0.0%"/>
  </numFmts>
  <fonts count="7">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sz val="12"/>
      <color indexed="8"/>
      <name val="Helvetica"/>
    </font>
    <font>
      <sz val="12"/>
      <color indexed="17"/>
      <name val="Helvetica Neue"/>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3"/>
      </right>
      <top style="thin">
        <color indexed="14"/>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69">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horizontal="right" vertical="top" wrapText="1"/>
    </xf>
    <xf numFmtId="49" fontId="4" fillId="4" borderId="1" applyNumberFormat="1" applyFont="1" applyFill="1" applyBorder="1" applyAlignment="1" applyProtection="0">
      <alignment vertical="top" wrapText="1"/>
    </xf>
    <xf numFmtId="0" fontId="4" fillId="5" borderId="2" applyNumberFormat="1" applyFont="1" applyFill="1" applyBorder="1" applyAlignment="1" applyProtection="0">
      <alignment vertical="top" wrapText="1"/>
    </xf>
    <xf numFmtId="38" fontId="0" borderId="2" applyNumberFormat="1" applyFont="1" applyFill="0" applyBorder="1" applyAlignment="1" applyProtection="0">
      <alignment vertical="top" wrapText="1"/>
    </xf>
    <xf numFmtId="0" fontId="0" borderId="2" applyNumberFormat="1" applyFont="1" applyFill="0" applyBorder="1" applyAlignment="1" applyProtection="0">
      <alignment vertical="top" wrapText="1"/>
    </xf>
    <xf numFmtId="0" fontId="4" fillId="5" borderId="3" applyNumberFormat="0" applyFont="1" applyFill="1" applyBorder="1" applyAlignment="1" applyProtection="0">
      <alignment vertical="top" wrapText="1"/>
    </xf>
    <xf numFmtId="38" fontId="0" borderId="3" applyNumberFormat="1" applyFont="1" applyFill="0" applyBorder="1" applyAlignment="1" applyProtection="0">
      <alignment vertical="top" wrapText="1"/>
    </xf>
    <xf numFmtId="0" fontId="0" borderId="3" applyNumberFormat="1" applyFont="1" applyFill="0" applyBorder="1" applyAlignment="1" applyProtection="0">
      <alignment vertical="top" wrapText="1"/>
    </xf>
    <xf numFmtId="0" fontId="4" fillId="5" borderId="3" applyNumberFormat="1" applyFont="1" applyFill="1" applyBorder="1" applyAlignment="1" applyProtection="0">
      <alignment vertical="top" wrapText="1"/>
    </xf>
    <xf numFmtId="0" fontId="0" borderId="3"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4" fillId="5" borderId="4" applyNumberFormat="1" applyFont="1" applyFill="1" applyBorder="1" applyAlignment="1" applyProtection="0">
      <alignment vertical="top" wrapText="1"/>
    </xf>
    <xf numFmtId="3" fontId="0" borderId="5" applyNumberFormat="1" applyFont="1" applyFill="0" applyBorder="1" applyAlignment="1" applyProtection="0">
      <alignment vertical="top" wrapText="1"/>
    </xf>
    <xf numFmtId="3" fontId="0" borderId="2" applyNumberFormat="1" applyFont="1" applyFill="0" applyBorder="1" applyAlignment="1" applyProtection="0">
      <alignment vertical="top" wrapText="1"/>
    </xf>
    <xf numFmtId="0" fontId="4" fillId="5" borderId="6" applyNumberFormat="0" applyFont="1" applyFill="1" applyBorder="1" applyAlignment="1" applyProtection="0">
      <alignment vertical="top" wrapText="1"/>
    </xf>
    <xf numFmtId="3" fontId="0" borderId="7" applyNumberFormat="1" applyFont="1" applyFill="0" applyBorder="1" applyAlignment="1" applyProtection="0">
      <alignment vertical="top" wrapText="1"/>
    </xf>
    <xf numFmtId="3" fontId="0" borderId="3" applyNumberFormat="1" applyFont="1" applyFill="0" applyBorder="1" applyAlignment="1" applyProtection="0">
      <alignment vertical="top" wrapText="1"/>
    </xf>
    <xf numFmtId="0" fontId="4" fillId="5" borderId="6" applyNumberFormat="1" applyFont="1" applyFill="1" applyBorder="1" applyAlignment="1" applyProtection="0">
      <alignment vertical="top" wrapText="1"/>
    </xf>
    <xf numFmtId="0" fontId="0" borderId="7" applyNumberFormat="1" applyFont="1" applyFill="0" applyBorder="1" applyAlignment="1" applyProtection="0">
      <alignment vertical="top" wrapText="1"/>
    </xf>
    <xf numFmtId="0" fontId="0" borderId="7"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4" fillId="4" borderId="1" applyNumberFormat="0" applyFont="1" applyFill="1" applyBorder="1" applyAlignment="1" applyProtection="0">
      <alignment horizontal="right" vertical="top" wrapText="1"/>
    </xf>
    <xf numFmtId="38" fontId="0" fillId="6" borderId="5" applyNumberFormat="1" applyFont="1" applyFill="1" applyBorder="1" applyAlignment="1" applyProtection="0">
      <alignment vertical="top" wrapText="1"/>
    </xf>
    <xf numFmtId="38" fontId="0" fillId="6" borderId="2" applyNumberFormat="1" applyFont="1" applyFill="1" applyBorder="1" applyAlignment="1" applyProtection="0">
      <alignment vertical="top" wrapText="1"/>
    </xf>
    <xf numFmtId="0" fontId="0" borderId="2" applyNumberFormat="0" applyFont="1" applyFill="0" applyBorder="1" applyAlignment="1" applyProtection="0">
      <alignment vertical="top" wrapText="1"/>
    </xf>
    <xf numFmtId="59" fontId="0" borderId="2" applyNumberFormat="1" applyFont="1" applyFill="0" applyBorder="1" applyAlignment="1" applyProtection="0">
      <alignment vertical="top" wrapText="1"/>
    </xf>
    <xf numFmtId="60" fontId="0" borderId="2" applyNumberFormat="1" applyFont="1" applyFill="0" applyBorder="1" applyAlignment="1" applyProtection="0">
      <alignment vertical="top" wrapText="1"/>
    </xf>
    <xf numFmtId="38" fontId="0" fillId="6" borderId="7" applyNumberFormat="1" applyFont="1" applyFill="1" applyBorder="1" applyAlignment="1" applyProtection="0">
      <alignment vertical="top" wrapText="1"/>
    </xf>
    <xf numFmtId="38" fontId="0" fillId="6" borderId="3" applyNumberFormat="1" applyFont="1" applyFill="1" applyBorder="1" applyAlignment="1" applyProtection="0">
      <alignment vertical="top" wrapText="1"/>
    </xf>
    <xf numFmtId="59" fontId="0" borderId="3" applyNumberFormat="1" applyFont="1" applyFill="0" applyBorder="1" applyAlignment="1" applyProtection="0">
      <alignment vertical="top" wrapText="1"/>
    </xf>
    <xf numFmtId="60" fontId="0" borderId="3" applyNumberFormat="1" applyFont="1" applyFill="0" applyBorder="1" applyAlignment="1" applyProtection="0">
      <alignment vertical="top" wrapText="1"/>
    </xf>
    <xf numFmtId="61" fontId="0" borderId="3" applyNumberFormat="1" applyFont="1" applyFill="0" applyBorder="1" applyAlignment="1" applyProtection="0">
      <alignment vertical="top" wrapText="1"/>
    </xf>
    <xf numFmtId="60" fontId="0" fillId="6" borderId="7" applyNumberFormat="1" applyFont="1" applyFill="1" applyBorder="1" applyAlignment="1" applyProtection="0">
      <alignment vertical="top" wrapText="1"/>
    </xf>
    <xf numFmtId="60" fontId="0" fillId="6" borderId="3" applyNumberFormat="1" applyFont="1" applyFill="1" applyBorder="1" applyAlignment="1" applyProtection="0">
      <alignment vertical="top" wrapText="1"/>
    </xf>
    <xf numFmtId="62" fontId="0" borderId="3"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4" fillId="4" borderId="1" applyNumberFormat="0" applyFont="1" applyFill="1" applyBorder="1" applyAlignment="1" applyProtection="0">
      <alignment vertical="top" wrapText="1"/>
    </xf>
    <xf numFmtId="1" fontId="0" borderId="7" applyNumberFormat="1" applyFont="1" applyFill="0" applyBorder="1" applyAlignment="1" applyProtection="0">
      <alignment vertical="top" wrapText="1"/>
    </xf>
    <xf numFmtId="1" fontId="0" borderId="3"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7" borderId="4" applyNumberFormat="1" applyFont="1" applyFill="1" applyBorder="1" applyAlignment="1" applyProtection="0">
      <alignment vertical="top" wrapText="1"/>
    </xf>
    <xf numFmtId="0" fontId="0" borderId="5" applyNumberFormat="0" applyFont="1" applyFill="0" applyBorder="1" applyAlignment="1" applyProtection="0">
      <alignment vertical="top" wrapText="1"/>
    </xf>
    <xf numFmtId="49" fontId="4" fillId="5" borderId="6" applyNumberFormat="1" applyFont="1" applyFill="1" applyBorder="1" applyAlignment="1" applyProtection="0">
      <alignment vertical="top" wrapText="1"/>
    </xf>
    <xf numFmtId="62" fontId="0" borderId="7" applyNumberFormat="1" applyFont="1" applyFill="0" applyBorder="1" applyAlignment="1" applyProtection="0">
      <alignment vertical="top" wrapText="1"/>
    </xf>
    <xf numFmtId="38" fontId="0" borderId="7"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49" fontId="4" fillId="8" borderId="6" applyNumberFormat="1" applyFont="1" applyFill="1" applyBorder="1" applyAlignment="1" applyProtection="0">
      <alignment vertical="top" wrapText="1"/>
    </xf>
    <xf numFmtId="49" fontId="4" fillId="9" borderId="6"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4" fillId="5" borderId="4" applyNumberFormat="1" applyFont="1" applyFill="1" applyBorder="1" applyAlignment="1" applyProtection="0">
      <alignment vertical="top" wrapText="1"/>
    </xf>
    <xf numFmtId="63" fontId="0" borderId="5" applyNumberFormat="1" applyFont="1" applyFill="0" applyBorder="1" applyAlignment="1" applyProtection="0">
      <alignment vertical="top" wrapText="1"/>
    </xf>
    <xf numFmtId="63" fontId="0" borderId="2" applyNumberFormat="1" applyFont="1" applyFill="0" applyBorder="1" applyAlignment="1" applyProtection="0">
      <alignment vertical="top" wrapText="1"/>
    </xf>
    <xf numFmtId="64" fontId="0" borderId="7" applyNumberFormat="1" applyFont="1" applyFill="0" applyBorder="1" applyAlignment="1" applyProtection="0">
      <alignment vertical="top" wrapText="1"/>
    </xf>
    <xf numFmtId="64" fontId="0" borderId="3" applyNumberFormat="1" applyFont="1" applyFill="0" applyBorder="1" applyAlignment="1" applyProtection="0">
      <alignment vertical="top" wrapText="1"/>
    </xf>
    <xf numFmtId="63" fontId="0" borderId="7" applyNumberFormat="1" applyFont="1" applyFill="0" applyBorder="1" applyAlignment="1" applyProtection="0">
      <alignment vertical="top" wrapText="1"/>
    </xf>
    <xf numFmtId="63" fontId="0" borderId="3" applyNumberFormat="1" applyFont="1" applyFill="0" applyBorder="1" applyAlignment="1" applyProtection="0">
      <alignment vertical="top" wrapText="1"/>
    </xf>
    <xf numFmtId="65" fontId="0" borderId="7" applyNumberFormat="1" applyFont="1" applyFill="0" applyBorder="1" applyAlignment="1" applyProtection="0">
      <alignment vertical="top" wrapText="1"/>
    </xf>
    <xf numFmtId="65" fontId="0" borderId="3" applyNumberFormat="1" applyFont="1" applyFill="0" applyBorder="1" applyAlignment="1" applyProtection="0">
      <alignment vertical="top" wrapText="1"/>
    </xf>
    <xf numFmtId="4" fontId="0" borderId="3" applyNumberFormat="1" applyFont="1" applyFill="0" applyBorder="1" applyAlignment="1" applyProtection="0">
      <alignment vertical="top" wrapText="1"/>
    </xf>
    <xf numFmtId="66" fontId="0" borderId="3"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b8b8b8"/>
      <rgbColor rgb="ffffffff"/>
      <rgbColor rgb="ffebebeb"/>
      <rgbColor rgb="ff76bb40"/>
      <rgbColor rgb="fffefb41"/>
      <rgbColor rgb="ff01c7f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73252"/>
          <c:y val="0.12368"/>
          <c:w val="0.784428"/>
          <c:h val="0.810337"/>
        </c:manualLayout>
      </c:layout>
      <c:lineChart>
        <c:grouping val="standard"/>
        <c:varyColors val="0"/>
        <c:ser>
          <c:idx val="0"/>
          <c:order val="0"/>
          <c:tx>
            <c:strRef>
              <c:f>'Balance sheet - Liabilities'!$B$2</c:f>
              <c:strCache>
                <c:ptCount val="1"/>
                <c:pt idx="0">
                  <c:v>ST debt</c:v>
                </c:pt>
              </c:strCache>
            </c:strRef>
          </c:tx>
          <c:spPr>
            <a:solidFill>
              <a:srgbClr val="FFFFFF"/>
            </a:solidFill>
            <a:ln w="50800" cap="flat">
              <a:solidFill>
                <a:schemeClr val="accent1"/>
              </a:solidFill>
              <a:prstDash val="solid"/>
              <a:miter lim="400000"/>
            </a:ln>
            <a:effectLst/>
          </c:spPr>
          <c:marker>
            <c:symbol val="circle"/>
            <c:size val="10"/>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'Balance sheet - Liabilities'!$A$11:$A$21</c:f>
              <c:strCache>
                <c:ptCount val="11"/>
                <c:pt idx="0">
                  <c:v>2016</c:v>
                </c:pt>
                <c:pt idx="1">
                  <c:v/>
                </c:pt>
                <c:pt idx="2">
                  <c:v/>
                </c:pt>
                <c:pt idx="3">
                  <c:v/>
                </c:pt>
                <c:pt idx="4">
                  <c:v>2017</c:v>
                </c:pt>
                <c:pt idx="5">
                  <c:v/>
                </c:pt>
                <c:pt idx="6">
                  <c:v/>
                </c:pt>
                <c:pt idx="7">
                  <c:v/>
                </c:pt>
                <c:pt idx="8">
                  <c:v>2018</c:v>
                </c:pt>
                <c:pt idx="9">
                  <c:v/>
                </c:pt>
                <c:pt idx="10">
                  <c:v/>
                </c:pt>
              </c:strCache>
            </c:strRef>
          </c:cat>
          <c:val>
            <c:numRef>
              <c:f>'Balance sheet - Liabilities'!$B$11:$B$21</c:f>
              <c:numCache>
                <c:ptCount val="11"/>
                <c:pt idx="0">
                  <c:v>1942.000000</c:v>
                </c:pt>
                <c:pt idx="1">
                  <c:v>1624.000000</c:v>
                </c:pt>
                <c:pt idx="2">
                  <c:v>1207.000000</c:v>
                </c:pt>
                <c:pt idx="3">
                  <c:v>903.000000</c:v>
                </c:pt>
                <c:pt idx="4">
                  <c:v>1417.000000</c:v>
                </c:pt>
                <c:pt idx="5">
                  <c:v>1516.000000</c:v>
                </c:pt>
                <c:pt idx="6">
                  <c:v>1525.000000</c:v>
                </c:pt>
                <c:pt idx="7">
                  <c:v>1750.000000</c:v>
                </c:pt>
                <c:pt idx="8">
                  <c:v>3422.000000</c:v>
                </c:pt>
                <c:pt idx="9">
                  <c:v>3473.000000</c:v>
                </c:pt>
                <c:pt idx="10">
                  <c:v>4896.000000</c:v>
                </c:pt>
              </c:numCache>
            </c:numRef>
          </c:val>
          <c:smooth val="0"/>
        </c:ser>
        <c:ser>
          <c:idx val="1"/>
          <c:order val="1"/>
          <c:tx>
            <c:strRef>
              <c:f>'Balance sheet - Liabilities'!$C$2</c:f>
              <c:strCache>
                <c:ptCount val="1"/>
                <c:pt idx="0">
                  <c:v>LT debt</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'Balance sheet - Liabilities'!$A$11:$A$21</c:f>
              <c:strCache>
                <c:ptCount val="11"/>
                <c:pt idx="0">
                  <c:v>2016</c:v>
                </c:pt>
                <c:pt idx="1">
                  <c:v/>
                </c:pt>
                <c:pt idx="2">
                  <c:v/>
                </c:pt>
                <c:pt idx="3">
                  <c:v/>
                </c:pt>
                <c:pt idx="4">
                  <c:v>2017</c:v>
                </c:pt>
                <c:pt idx="5">
                  <c:v/>
                </c:pt>
                <c:pt idx="6">
                  <c:v/>
                </c:pt>
                <c:pt idx="7">
                  <c:v/>
                </c:pt>
                <c:pt idx="8">
                  <c:v>2018</c:v>
                </c:pt>
                <c:pt idx="9">
                  <c:v/>
                </c:pt>
                <c:pt idx="10">
                  <c:v/>
                </c:pt>
              </c:strCache>
            </c:strRef>
          </c:cat>
          <c:val>
            <c:numRef>
              <c:f>'Balance sheet - Liabilities'!$C$11:$C$21</c:f>
              <c:numCache>
                <c:ptCount val="0"/>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1270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250"/>
        <c:minorUnit val="625"/>
      </c:valAx>
      <c:spPr>
        <a:noFill/>
        <a:ln w="12700" cap="flat">
          <a:noFill/>
          <a:miter lim="400000"/>
        </a:ln>
        <a:effectLst/>
      </c:spPr>
    </c:plotArea>
    <c:legend>
      <c:legendPos val="t"/>
      <c:layout>
        <c:manualLayout>
          <c:xMode val="edge"/>
          <c:yMode val="edge"/>
          <c:x val="0.0610313"/>
          <c:y val="0"/>
          <c:w val="0.9"/>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46429"/>
          <c:y val="0.0426778"/>
          <c:w val="0.848571"/>
          <c:h val="0.886395"/>
        </c:manualLayout>
      </c:layout>
      <c:barChart>
        <c:barDir val="col"/>
        <c:grouping val="clustered"/>
        <c:varyColors val="0"/>
        <c:ser>
          <c:idx val="0"/>
          <c:order val="0"/>
          <c:tx>
            <c:strRef>
              <c:f>'Cash flow - Quarterly cash flow'!$L$3</c:f>
              <c:strCache>
                <c:ptCount val="1"/>
                <c:pt idx="0">
                  <c:v>Capital paid (raised)</c:v>
                </c:pt>
              </c:strCache>
            </c:strRef>
          </c:tx>
          <c:spPr>
            <a:solidFill>
              <a:schemeClr val="accent1"/>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0"/>
            <c:showCatName val="0"/>
            <c:showSerName val="0"/>
            <c:showPercent val="0"/>
            <c:showBubbleSize val="0"/>
            <c:showLeaderLines val="0"/>
          </c:dLbls>
          <c:cat>
            <c:strRef>
              <c:f>'Cash flow - Quarterly cash flow'!$B$4:$B$31</c:f>
              <c:strCache>
                <c:ptCount val="28"/>
                <c:pt idx="0">
                  <c:v>2014</c:v>
                </c:pt>
                <c:pt idx="1">
                  <c:v/>
                </c:pt>
                <c:pt idx="2">
                  <c:v/>
                </c:pt>
                <c:pt idx="3">
                  <c:v/>
                </c:pt>
                <c:pt idx="4">
                  <c:v>2015</c:v>
                </c:pt>
                <c:pt idx="5">
                  <c:v/>
                </c:pt>
                <c:pt idx="6">
                  <c:v/>
                </c:pt>
                <c:pt idx="7">
                  <c:v/>
                </c:pt>
                <c:pt idx="8">
                  <c:v>2016</c:v>
                </c:pt>
                <c:pt idx="9">
                  <c:v/>
                </c:pt>
                <c:pt idx="10">
                  <c:v/>
                </c:pt>
                <c:pt idx="11">
                  <c:v/>
                </c:pt>
                <c:pt idx="12">
                  <c:v>2017</c:v>
                </c:pt>
                <c:pt idx="13">
                  <c:v/>
                </c:pt>
                <c:pt idx="14">
                  <c:v/>
                </c:pt>
                <c:pt idx="15">
                  <c:v/>
                </c:pt>
                <c:pt idx="16">
                  <c:v>2018</c:v>
                </c:pt>
                <c:pt idx="17">
                  <c:v/>
                </c:pt>
                <c:pt idx="18">
                  <c:v/>
                </c:pt>
                <c:pt idx="19">
                  <c:v/>
                </c:pt>
                <c:pt idx="20">
                  <c:v>2019</c:v>
                </c:pt>
                <c:pt idx="21">
                  <c:v/>
                </c:pt>
                <c:pt idx="22">
                  <c:v/>
                </c:pt>
                <c:pt idx="23">
                  <c:v/>
                </c:pt>
                <c:pt idx="24">
                  <c:v>2020</c:v>
                </c:pt>
                <c:pt idx="25">
                  <c:v/>
                </c:pt>
                <c:pt idx="26">
                  <c:v/>
                </c:pt>
                <c:pt idx="27">
                  <c:v/>
                </c:pt>
              </c:strCache>
            </c:strRef>
          </c:cat>
          <c:val>
            <c:numRef>
              <c:f>'Cash flow - Quarterly cash flow'!$L$4:$L$31</c:f>
              <c:numCache>
                <c:ptCount val="28"/>
                <c:pt idx="0">
                  <c:v>-387.700000</c:v>
                </c:pt>
                <c:pt idx="1">
                  <c:v>-175.200000</c:v>
                </c:pt>
                <c:pt idx="2">
                  <c:v>-557.900000</c:v>
                </c:pt>
                <c:pt idx="3">
                  <c:v>-592.100000</c:v>
                </c:pt>
                <c:pt idx="4">
                  <c:v>-640.800000</c:v>
                </c:pt>
                <c:pt idx="5">
                  <c:v>-291.700000</c:v>
                </c:pt>
                <c:pt idx="6">
                  <c:v>94.300000</c:v>
                </c:pt>
                <c:pt idx="7">
                  <c:v>-249.400000</c:v>
                </c:pt>
                <c:pt idx="8">
                  <c:v>-448.200000</c:v>
                </c:pt>
                <c:pt idx="9">
                  <c:v>-157.000000</c:v>
                </c:pt>
                <c:pt idx="10">
                  <c:v>218.800000</c:v>
                </c:pt>
                <c:pt idx="11">
                  <c:v>592.900000</c:v>
                </c:pt>
                <c:pt idx="12">
                  <c:v>273.800000</c:v>
                </c:pt>
                <c:pt idx="13">
                  <c:v>-211.000000</c:v>
                </c:pt>
                <c:pt idx="14">
                  <c:v>-145.800000</c:v>
                </c:pt>
                <c:pt idx="15">
                  <c:v>70.900000</c:v>
                </c:pt>
                <c:pt idx="16">
                  <c:v>-1463.400000</c:v>
                </c:pt>
                <c:pt idx="17">
                  <c:v>-1737.100000</c:v>
                </c:pt>
                <c:pt idx="18">
                  <c:v>-2910.900000</c:v>
                </c:pt>
                <c:pt idx="19">
                  <c:v>-2548.100000</c:v>
                </c:pt>
                <c:pt idx="20">
                  <c:v>-2283.200000</c:v>
                </c:pt>
                <c:pt idx="21">
                  <c:v>-1116.100000</c:v>
                </c:pt>
                <c:pt idx="22">
                  <c:v>-895.100000</c:v>
                </c:pt>
                <c:pt idx="23">
                  <c:v>-686.707000</c:v>
                </c:pt>
                <c:pt idx="24">
                  <c:v>-478.707000</c:v>
                </c:pt>
                <c:pt idx="25">
                  <c:v>236.423000</c:v>
                </c:pt>
                <c:pt idx="26">
                  <c:v>-288.707000</c:v>
                </c:pt>
                <c:pt idx="27">
                  <c:v>-20.489266</c:v>
                </c:pt>
              </c:numCache>
            </c:numRef>
          </c:val>
        </c:ser>
        <c:gapWidth val="40"/>
        <c:overlap val="-10"/>
        <c:axId val="2094734552"/>
        <c:axId val="2094734553"/>
      </c:bar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1270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between"/>
        <c:majorUnit val="937.5"/>
        <c:minorUnit val="468.75"/>
      </c:valAx>
      <c:spPr>
        <a:noFill/>
        <a:ln w="12700" cap="flat">
          <a:noFill/>
          <a:miter lim="400000"/>
        </a:ln>
        <a:effectLst/>
      </c:spPr>
    </c:plotArea>
    <c:legend>
      <c:legendPos val="r"/>
      <c:layout>
        <c:manualLayout>
          <c:xMode val="edge"/>
          <c:yMode val="edge"/>
          <c:x val="0.570965"/>
          <c:y val="0.0736774"/>
          <c:w val="0.413937"/>
          <c:h val="0.0676778"/>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50806"/>
          <c:y val="0.0426778"/>
          <c:w val="0.840658"/>
          <c:h val="0.886395"/>
        </c:manualLayout>
      </c:layout>
      <c:lineChart>
        <c:grouping val="standard"/>
        <c:varyColors val="0"/>
        <c:ser>
          <c:idx val="0"/>
          <c:order val="0"/>
          <c:tx>
            <c:strRef>
              <c:f>'Profit  - Quarterly profit'!$F$3</c:f>
              <c:strCache>
                <c:ptCount val="1"/>
                <c:pt idx="0">
                  <c:v>Sales </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trendline>
            <c:spPr>
              <a:noFill/>
              <a:ln w="25400" cap="flat">
                <a:solidFill>
                  <a:schemeClr val="accent1"/>
                </a:solidFill>
                <a:prstDash val="solid"/>
                <a:miter lim="400000"/>
              </a:ln>
              <a:effectLst>
                <a:outerShdw sx="100000" sy="100000" kx="0" ky="0" algn="tl" rotWithShape="1" blurRad="12700" dist="25400" dir="7320000">
                  <a:srgbClr val="000000">
                    <a:alpha val="25000"/>
                  </a:srgbClr>
                </a:outerShdw>
              </a:effectLst>
            </c:spPr>
            <c:trendlineType val="poly"/>
            <c:order val="2"/>
            <c:forward val="0"/>
            <c:backward val="0"/>
            <c:dispRSqr val="0"/>
            <c:dispEq val="0"/>
          </c:trendline>
          <c:cat>
            <c:strRef>
              <c:f>'Profit  - Quarterly profit'!$B$4:$B$30</c:f>
              <c:strCache>
                <c:ptCount val="27"/>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2021</c:v>
                </c:pt>
                <c:pt idx="25">
                  <c:v/>
                </c:pt>
                <c:pt idx="26">
                  <c:v/>
                </c:pt>
              </c:strCache>
            </c:strRef>
          </c:cat>
          <c:val>
            <c:numRef>
              <c:f>'Profit  - Quarterly profit'!$F$4:$F$30</c:f>
              <c:numCache>
                <c:ptCount val="23"/>
                <c:pt idx="0">
                  <c:v>3952.100000</c:v>
                </c:pt>
                <c:pt idx="1">
                  <c:v>4731.700000</c:v>
                </c:pt>
                <c:pt idx="2">
                  <c:v>5266.900000</c:v>
                </c:pt>
                <c:pt idx="3">
                  <c:v>6056.900000</c:v>
                </c:pt>
                <c:pt idx="4">
                  <c:v>4850.000000</c:v>
                </c:pt>
                <c:pt idx="5">
                  <c:v>5512.100000</c:v>
                </c:pt>
                <c:pt idx="6">
                  <c:v>5229.400000</c:v>
                </c:pt>
                <c:pt idx="7">
                  <c:v>4955.600000</c:v>
                </c:pt>
                <c:pt idx="8">
                  <c:v>5165.900000</c:v>
                </c:pt>
                <c:pt idx="9">
                  <c:v>5890.500000</c:v>
                </c:pt>
                <c:pt idx="10">
                  <c:v>5597.500000</c:v>
                </c:pt>
                <c:pt idx="11">
                  <c:v>7576.000000</c:v>
                </c:pt>
                <c:pt idx="12">
                  <c:v>8280.000000</c:v>
                </c:pt>
                <c:pt idx="13">
                  <c:v>8812.400000</c:v>
                </c:pt>
                <c:pt idx="14">
                  <c:v>8240.900000</c:v>
                </c:pt>
                <c:pt idx="15">
                  <c:v>9410.700000</c:v>
                </c:pt>
                <c:pt idx="16">
                  <c:v>7124.000000</c:v>
                </c:pt>
                <c:pt idx="17">
                  <c:v>8305.000000</c:v>
                </c:pt>
                <c:pt idx="18">
                  <c:v>8184.000000</c:v>
                </c:pt>
                <c:pt idx="19">
                  <c:v>9331.900000</c:v>
                </c:pt>
                <c:pt idx="20">
                  <c:v>7806.000000</c:v>
                </c:pt>
                <c:pt idx="21">
                  <c:v>6656.730000</c:v>
                </c:pt>
                <c:pt idx="22">
                  <c:v>8707.270000</c:v>
                </c:pt>
              </c:numCache>
            </c:numRef>
          </c:val>
          <c:smooth val="0"/>
        </c:ser>
        <c:ser>
          <c:idx val="1"/>
          <c:order val="1"/>
          <c:tx>
            <c:strRef>
              <c:f>'Profit  - Quarterly profit'!$G$3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'Profit  - Quarterly profit'!$B$4:$B$30</c:f>
              <c:strCache>
                <c:ptCount val="27"/>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2021</c:v>
                </c:pt>
                <c:pt idx="25">
                  <c:v/>
                </c:pt>
                <c:pt idx="26">
                  <c:v/>
                </c:pt>
              </c:strCache>
            </c:strRef>
          </c:cat>
          <c:val>
            <c:numRef>
              <c:f>'Profit  - Quarterly profit'!$G$4:$G$30</c:f>
              <c:numCache>
                <c:ptCount val="9"/>
                <c:pt idx="18">
                  <c:v>8240.900000</c:v>
                </c:pt>
                <c:pt idx="19">
                  <c:v>8940.165000</c:v>
                </c:pt>
                <c:pt idx="20">
                  <c:v>7836.400000</c:v>
                </c:pt>
                <c:pt idx="21">
                  <c:v>6656.730000</c:v>
                </c:pt>
                <c:pt idx="22">
                  <c:v>7529.280000</c:v>
                </c:pt>
                <c:pt idx="23">
                  <c:v>9577.997000</c:v>
                </c:pt>
                <c:pt idx="24">
                  <c:v>8907.537210</c:v>
                </c:pt>
                <c:pt idx="25">
                  <c:v>9085.687954</c:v>
                </c:pt>
                <c:pt idx="26">
                  <c:v>9449.115472</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min val="2000"/>
        </c:scaling>
        <c:delete val="0"/>
        <c:axPos val="l"/>
        <c:majorGridlines>
          <c:spPr>
            <a:ln w="1270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2000"/>
        <c:minorUnit val="1000"/>
      </c:valAx>
      <c:spPr>
        <a:noFill/>
        <a:ln w="12700" cap="flat">
          <a:noFill/>
          <a:miter lim="400000"/>
        </a:ln>
        <a:effectLst/>
      </c:spPr>
    </c:plotArea>
    <c:legend>
      <c:legendPos val="r"/>
      <c:layout>
        <c:manualLayout>
          <c:xMode val="edge"/>
          <c:yMode val="edge"/>
          <c:x val="0.165955"/>
          <c:y val="0.105599"/>
          <c:w val="0.258678"/>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76289"/>
          <c:y val="0.0423059"/>
          <c:w val="0.815578"/>
          <c:h val="0.887276"/>
        </c:manualLayout>
      </c:layout>
      <c:lineChart>
        <c:grouping val="standard"/>
        <c:varyColors val="0"/>
        <c:ser>
          <c:idx val="0"/>
          <c:order val="0"/>
          <c:tx>
            <c:strRef>
              <c:f>'Profit  - Quarterly profit'!$K$3</c:f>
              <c:strCache>
                <c:ptCount val="1"/>
                <c:pt idx="0">
                  <c:v>Cost ratio</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'Profit  - Quarterly profit'!$B$4:$B$27</c:f>
              <c:strCache>
                <c:ptCount val="24"/>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strCache>
            </c:strRef>
          </c:cat>
          <c:val>
            <c:numRef>
              <c:f>'Profit  - Quarterly profit'!$K$4:$K$27</c:f>
              <c:numCache>
                <c:ptCount val="23"/>
                <c:pt idx="0">
                  <c:v>-0.977835</c:v>
                </c:pt>
                <c:pt idx="1">
                  <c:v>-0.988799</c:v>
                </c:pt>
                <c:pt idx="2">
                  <c:v>-0.987184</c:v>
                </c:pt>
                <c:pt idx="3">
                  <c:v>-0.987849</c:v>
                </c:pt>
                <c:pt idx="4">
                  <c:v>-0.984495</c:v>
                </c:pt>
                <c:pt idx="5">
                  <c:v>-0.984833</c:v>
                </c:pt>
                <c:pt idx="6">
                  <c:v>-0.984740</c:v>
                </c:pt>
                <c:pt idx="7">
                  <c:v>-0.982141</c:v>
                </c:pt>
                <c:pt idx="8">
                  <c:v>-0.983031</c:v>
                </c:pt>
                <c:pt idx="9">
                  <c:v>-0.983730</c:v>
                </c:pt>
                <c:pt idx="10">
                  <c:v>-0.981813</c:v>
                </c:pt>
                <c:pt idx="11">
                  <c:v>-0.981745</c:v>
                </c:pt>
                <c:pt idx="12">
                  <c:v>-0.971510</c:v>
                </c:pt>
                <c:pt idx="13">
                  <c:v>-0.970712</c:v>
                </c:pt>
                <c:pt idx="14">
                  <c:v>-0.973049</c:v>
                </c:pt>
                <c:pt idx="15">
                  <c:v>-0.971915</c:v>
                </c:pt>
                <c:pt idx="16">
                  <c:v>-0.988448</c:v>
                </c:pt>
                <c:pt idx="17">
                  <c:v>-0.988597</c:v>
                </c:pt>
                <c:pt idx="18">
                  <c:v>-0.990127</c:v>
                </c:pt>
                <c:pt idx="19">
                  <c:v>-0.979149</c:v>
                </c:pt>
                <c:pt idx="20">
                  <c:v>-0.981168</c:v>
                </c:pt>
                <c:pt idx="21">
                  <c:v>-0.994708</c:v>
                </c:pt>
                <c:pt idx="22">
                  <c:v>-0.972578</c:v>
                </c:pt>
              </c:numCache>
            </c:numRef>
          </c:val>
          <c:smooth val="0"/>
        </c:ser>
        <c:ser>
          <c:idx val="1"/>
          <c:order val="1"/>
          <c:tx>
            <c:strRef>
              <c:f>'Profit  - Quarterly profit'!$L$3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'Profit  - Quarterly profit'!$B$4:$B$27</c:f>
              <c:strCache>
                <c:ptCount val="24"/>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strCache>
            </c:strRef>
          </c:cat>
          <c:val>
            <c:numRef>
              <c:f>'Profit  - Quarterly profit'!$L$4:$L$27</c:f>
              <c:numCache>
                <c:ptCount val="2"/>
                <c:pt idx="22">
                  <c:v>-0.979141</c:v>
                </c:pt>
                <c:pt idx="23">
                  <c:v>-0.975863</c:v>
                </c:pt>
              </c:numCache>
            </c:numRef>
          </c:val>
          <c:smooth val="0"/>
        </c:ser>
        <c:marker val="1"/>
        <c:axId val="2094734552"/>
        <c:axId val="2094734553"/>
      </c:lineChart>
      <c:catAx>
        <c:axId val="2094734552"/>
        <c:scaling>
          <c:orientation val="minMax"/>
        </c:scaling>
        <c:delete val="0"/>
        <c:axPos val="b"/>
        <c:numFmt formatCode="#,##0.0%_);[Red]\(#,##0.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max val="-0.9"/>
        </c:scaling>
        <c:delete val="0"/>
        <c:axPos val="l"/>
        <c:majorGridlines>
          <c:spPr>
            <a:ln w="12700" cap="flat">
              <a:solidFill>
                <a:srgbClr val="B8B8B8"/>
              </a:solidFill>
              <a:prstDash val="solid"/>
              <a:miter lim="400000"/>
            </a:ln>
          </c:spPr>
        </c:majorGridlines>
        <c:numFmt formatCode="#,##0.0%_);[Red]\(#,##0.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0.025"/>
        <c:minorUnit val="0.0125"/>
      </c:valAx>
      <c:spPr>
        <a:noFill/>
        <a:ln w="12700" cap="flat">
          <a:noFill/>
          <a:miter lim="400000"/>
        </a:ln>
        <a:effectLst/>
      </c:spPr>
    </c:plotArea>
    <c:legend>
      <c:legendPos val="r"/>
      <c:layout>
        <c:manualLayout>
          <c:xMode val="edge"/>
          <c:yMode val="edge"/>
          <c:x val="0.438991"/>
          <c:y val="0.0847968"/>
          <c:w val="0.243976"/>
          <c:h val="0.109612"/>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22017"/>
          <c:y val="0.0426778"/>
          <c:w val="0.86929"/>
          <c:h val="0.886395"/>
        </c:manualLayout>
      </c:layout>
      <c:lineChart>
        <c:grouping val="standard"/>
        <c:varyColors val="0"/>
        <c:ser>
          <c:idx val="0"/>
          <c:order val="0"/>
          <c:tx>
            <c:strRef>
              <c:f>'Cash flow - Quarterly cash flow'!$J$3</c:f>
              <c:strCache>
                <c:ptCount val="1"/>
                <c:pt idx="0">
                  <c:v>Free cashflow</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'Cash flow - Quarterly cash flow'!$B$8:$B$31</c:f>
              <c:strCache>
                <c:ptCount val="24"/>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strCache>
            </c:strRef>
          </c:cat>
          <c:val>
            <c:numRef>
              <c:f>'Cash flow - Quarterly cash flow'!$J$8:$J$31</c:f>
              <c:numCache>
                <c:ptCount val="23"/>
                <c:pt idx="0">
                  <c:v>-60.100000</c:v>
                </c:pt>
                <c:pt idx="1">
                  <c:v>-61.400000</c:v>
                </c:pt>
                <c:pt idx="2">
                  <c:v>-3.900000</c:v>
                </c:pt>
                <c:pt idx="3">
                  <c:v>-177.400000</c:v>
                </c:pt>
                <c:pt idx="4">
                  <c:v>125.400000</c:v>
                </c:pt>
                <c:pt idx="5">
                  <c:v>397.900000</c:v>
                </c:pt>
                <c:pt idx="6">
                  <c:v>-70.700000</c:v>
                </c:pt>
                <c:pt idx="7">
                  <c:v>-83.900000</c:v>
                </c:pt>
                <c:pt idx="8">
                  <c:v>-40.200000</c:v>
                </c:pt>
                <c:pt idx="9">
                  <c:v>570.000000</c:v>
                </c:pt>
                <c:pt idx="10">
                  <c:v>-5.900000</c:v>
                </c:pt>
                <c:pt idx="11">
                  <c:v>-63.500000</c:v>
                </c:pt>
                <c:pt idx="12">
                  <c:v>70.200000</c:v>
                </c:pt>
                <c:pt idx="13">
                  <c:v>326.700000</c:v>
                </c:pt>
                <c:pt idx="14">
                  <c:v>69.500000</c:v>
                </c:pt>
                <c:pt idx="15">
                  <c:v>13.800000</c:v>
                </c:pt>
                <c:pt idx="16">
                  <c:v>279.000000</c:v>
                </c:pt>
                <c:pt idx="17">
                  <c:v>124.000000</c:v>
                </c:pt>
                <c:pt idx="18">
                  <c:v>-188.000000</c:v>
                </c:pt>
                <c:pt idx="19">
                  <c:v>-25.141000</c:v>
                </c:pt>
                <c:pt idx="20">
                  <c:v>-432.076000</c:v>
                </c:pt>
                <c:pt idx="21">
                  <c:v>584.853000</c:v>
                </c:pt>
                <c:pt idx="22">
                  <c:v>190.147000</c:v>
                </c:pt>
              </c:numCache>
            </c:numRef>
          </c:val>
          <c:smooth val="0"/>
        </c:ser>
        <c:ser>
          <c:idx val="1"/>
          <c:order val="1"/>
          <c:tx>
            <c:strRef>
              <c:f>'Cash flow - Quarterly cash flow'!$K$3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'Cash flow - Quarterly cash flow'!$B$8:$B$31</c:f>
              <c:strCache>
                <c:ptCount val="24"/>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strCache>
            </c:strRef>
          </c:cat>
          <c:val>
            <c:numRef>
              <c:f>'Cash flow - Quarterly cash flow'!$K$8:$K$31</c:f>
              <c:numCache>
                <c:ptCount val="2"/>
                <c:pt idx="22">
                  <c:v>53.974455</c:v>
                </c:pt>
                <c:pt idx="23">
                  <c:v>67.054434</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1270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600"/>
        <c:minorUnit val="300"/>
      </c:valAx>
      <c:spPr>
        <a:noFill/>
        <a:ln w="12700" cap="flat">
          <a:noFill/>
          <a:miter lim="400000"/>
        </a:ln>
        <a:effectLst/>
      </c:spPr>
    </c:plotArea>
    <c:legend>
      <c:legendPos val="r"/>
      <c:layout>
        <c:manualLayout>
          <c:xMode val="edge"/>
          <c:yMode val="edge"/>
          <c:x val="0.530984"/>
          <c:y val="0.073914"/>
          <c:w val="0.326006"/>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6.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4812"/>
          <c:y val="0.0426778"/>
          <c:w val="0.843421"/>
          <c:h val="0.886395"/>
        </c:manualLayout>
      </c:layout>
      <c:lineChart>
        <c:grouping val="standard"/>
        <c:varyColors val="0"/>
        <c:ser>
          <c:idx val="0"/>
          <c:order val="0"/>
          <c:tx>
            <c:strRef>
              <c:f>'Balance sheet - Assets'!$G$2</c:f>
              <c:strCache>
                <c:ptCount val="1"/>
                <c:pt idx="0">
                  <c:v>Net cash</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'Balance sheet - Assets'!$A$7:$A$30</c:f>
              <c:strCache>
                <c:ptCount val="24"/>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strCache>
            </c:strRef>
          </c:cat>
          <c:val>
            <c:numRef>
              <c:f>'Balance sheet - Assets'!$G$7:$G$30</c:f>
              <c:numCache>
                <c:ptCount val="23"/>
                <c:pt idx="0">
                  <c:v>-1405.100000</c:v>
                </c:pt>
                <c:pt idx="1">
                  <c:v>-1118.800000</c:v>
                </c:pt>
                <c:pt idx="2">
                  <c:v>-860.200000</c:v>
                </c:pt>
                <c:pt idx="3">
                  <c:v>-1332.200000</c:v>
                </c:pt>
                <c:pt idx="4">
                  <c:v>-1856.000000</c:v>
                </c:pt>
                <c:pt idx="5">
                  <c:v>-1472.700000</c:v>
                </c:pt>
                <c:pt idx="6">
                  <c:v>-1098.800000</c:v>
                </c:pt>
                <c:pt idx="7">
                  <c:v>-288.500000</c:v>
                </c:pt>
                <c:pt idx="8">
                  <c:v>-1324.500000</c:v>
                </c:pt>
                <c:pt idx="9">
                  <c:v>-1203.100000</c:v>
                </c:pt>
                <c:pt idx="10">
                  <c:v>-1380.200000</c:v>
                </c:pt>
                <c:pt idx="11">
                  <c:v>-1383.600000</c:v>
                </c:pt>
                <c:pt idx="12">
                  <c:v>-3122.500000</c:v>
                </c:pt>
                <c:pt idx="13">
                  <c:v>-3184.800000</c:v>
                </c:pt>
                <c:pt idx="14">
                  <c:v>-4574.900000</c:v>
                </c:pt>
                <c:pt idx="15">
                  <c:v>-4012.000000</c:v>
                </c:pt>
                <c:pt idx="16">
                  <c:v>-3791.700000</c:v>
                </c:pt>
                <c:pt idx="17">
                  <c:v>-2676.000000</c:v>
                </c:pt>
                <c:pt idx="18">
                  <c:v>-2108.000000</c:v>
                </c:pt>
                <c:pt idx="19">
                  <c:v>-2132.082000</c:v>
                </c:pt>
                <c:pt idx="20">
                  <c:v>-1994.000000</c:v>
                </c:pt>
                <c:pt idx="21">
                  <c:v>-445.819000</c:v>
                </c:pt>
                <c:pt idx="22">
                  <c:v>-1863.000000</c:v>
                </c:pt>
              </c:numCache>
            </c:numRef>
          </c:val>
          <c:smooth val="0"/>
        </c:ser>
        <c:ser>
          <c:idx val="1"/>
          <c:order val="1"/>
          <c:tx>
            <c:strRef>
              <c:f>'Balance sheet - Assets'!$H$2</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'Balance sheet - Assets'!$A$7:$A$30</c:f>
              <c:strCache>
                <c:ptCount val="24"/>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strCache>
            </c:strRef>
          </c:cat>
          <c:val>
            <c:numRef>
              <c:f>'Balance sheet - Assets'!$H$7:$H$30</c:f>
              <c:numCache>
                <c:ptCount val="2"/>
                <c:pt idx="22">
                  <c:v>-391.844545</c:v>
                </c:pt>
                <c:pt idx="23">
                  <c:v>-1670.437373</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1270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250"/>
        <c:minorUnit val="625"/>
      </c:valAx>
      <c:spPr>
        <a:noFill/>
        <a:ln w="12700" cap="flat">
          <a:noFill/>
          <a:miter lim="400000"/>
        </a:ln>
        <a:effectLst/>
      </c:spPr>
    </c:plotArea>
    <c:legend>
      <c:legendPos val="r"/>
      <c:layout>
        <c:manualLayout>
          <c:xMode val="edge"/>
          <c:yMode val="edge"/>
          <c:x val="0.523558"/>
          <c:y val="0.0817886"/>
          <c:w val="0.328621"/>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7.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32251"/>
          <c:y val="0.0426778"/>
          <c:w val="0.859134"/>
          <c:h val="0.886395"/>
        </c:manualLayout>
      </c:layout>
      <c:lineChart>
        <c:grouping val="standard"/>
        <c:varyColors val="0"/>
        <c:ser>
          <c:idx val="0"/>
          <c:order val="0"/>
          <c:tx>
            <c:strRef>
              <c:f>'Share price  - Monthly share pr'!$D$3</c:f>
              <c:strCache>
                <c:ptCount val="1"/>
                <c:pt idx="0">
                  <c:v>ERAA</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'Share price  - Monthly share pr'!$B$16:$B$87</c:f>
              <c:strCache>
                <c:ptCount val="72"/>
                <c:pt idx="0">
                  <c:v>2015</c:v>
                </c:pt>
                <c:pt idx="1">
                  <c:v/>
                </c:pt>
                <c:pt idx="2">
                  <c:v/>
                </c:pt>
                <c:pt idx="3">
                  <c:v/>
                </c:pt>
                <c:pt idx="4">
                  <c:v/>
                </c:pt>
                <c:pt idx="5">
                  <c:v/>
                </c:pt>
                <c:pt idx="6">
                  <c:v/>
                </c:pt>
                <c:pt idx="7">
                  <c:v/>
                </c:pt>
                <c:pt idx="8">
                  <c:v/>
                </c:pt>
                <c:pt idx="9">
                  <c:v/>
                </c:pt>
                <c:pt idx="10">
                  <c:v/>
                </c:pt>
                <c:pt idx="11">
                  <c:v/>
                </c:pt>
                <c:pt idx="12">
                  <c:v>2016</c:v>
                </c:pt>
                <c:pt idx="13">
                  <c:v/>
                </c:pt>
                <c:pt idx="14">
                  <c:v/>
                </c:pt>
                <c:pt idx="15">
                  <c:v/>
                </c:pt>
                <c:pt idx="16">
                  <c:v/>
                </c:pt>
                <c:pt idx="17">
                  <c:v/>
                </c:pt>
                <c:pt idx="18">
                  <c:v/>
                </c:pt>
                <c:pt idx="19">
                  <c:v/>
                </c:pt>
                <c:pt idx="20">
                  <c:v/>
                </c:pt>
                <c:pt idx="21">
                  <c:v/>
                </c:pt>
                <c:pt idx="22">
                  <c:v/>
                </c:pt>
                <c:pt idx="23">
                  <c:v/>
                </c:pt>
                <c:pt idx="24">
                  <c:v>2017</c:v>
                </c:pt>
                <c:pt idx="25">
                  <c:v/>
                </c:pt>
                <c:pt idx="26">
                  <c:v/>
                </c:pt>
                <c:pt idx="27">
                  <c:v/>
                </c:pt>
                <c:pt idx="28">
                  <c:v/>
                </c:pt>
                <c:pt idx="29">
                  <c:v/>
                </c:pt>
                <c:pt idx="30">
                  <c:v/>
                </c:pt>
                <c:pt idx="31">
                  <c:v/>
                </c:pt>
                <c:pt idx="32">
                  <c:v/>
                </c:pt>
                <c:pt idx="33">
                  <c:v/>
                </c:pt>
                <c:pt idx="34">
                  <c:v/>
                </c:pt>
                <c:pt idx="35">
                  <c:v/>
                </c:pt>
                <c:pt idx="36">
                  <c:v>2018</c:v>
                </c:pt>
                <c:pt idx="37">
                  <c:v/>
                </c:pt>
                <c:pt idx="38">
                  <c:v/>
                </c:pt>
                <c:pt idx="39">
                  <c:v/>
                </c:pt>
                <c:pt idx="40">
                  <c:v/>
                </c:pt>
                <c:pt idx="41">
                  <c:v/>
                </c:pt>
                <c:pt idx="42">
                  <c:v/>
                </c:pt>
                <c:pt idx="43">
                  <c:v/>
                </c:pt>
                <c:pt idx="44">
                  <c:v/>
                </c:pt>
                <c:pt idx="45">
                  <c:v/>
                </c:pt>
                <c:pt idx="46">
                  <c:v/>
                </c:pt>
                <c:pt idx="47">
                  <c:v/>
                </c:pt>
                <c:pt idx="48">
                  <c:v>2019</c:v>
                </c:pt>
                <c:pt idx="49">
                  <c:v/>
                </c:pt>
                <c:pt idx="50">
                  <c:v/>
                </c:pt>
                <c:pt idx="51">
                  <c:v/>
                </c:pt>
                <c:pt idx="52">
                  <c:v/>
                </c:pt>
                <c:pt idx="53">
                  <c:v/>
                </c:pt>
                <c:pt idx="54">
                  <c:v/>
                </c:pt>
                <c:pt idx="55">
                  <c:v/>
                </c:pt>
                <c:pt idx="56">
                  <c:v/>
                </c:pt>
                <c:pt idx="57">
                  <c:v/>
                </c:pt>
                <c:pt idx="58">
                  <c:v/>
                </c:pt>
                <c:pt idx="59">
                  <c:v/>
                </c:pt>
                <c:pt idx="60">
                  <c:v>2020</c:v>
                </c:pt>
                <c:pt idx="61">
                  <c:v/>
                </c:pt>
                <c:pt idx="62">
                  <c:v/>
                </c:pt>
                <c:pt idx="63">
                  <c:v/>
                </c:pt>
                <c:pt idx="64">
                  <c:v/>
                </c:pt>
                <c:pt idx="65">
                  <c:v/>
                </c:pt>
                <c:pt idx="66">
                  <c:v/>
                </c:pt>
                <c:pt idx="67">
                  <c:v/>
                </c:pt>
                <c:pt idx="68">
                  <c:v/>
                </c:pt>
                <c:pt idx="69">
                  <c:v/>
                </c:pt>
                <c:pt idx="70">
                  <c:v/>
                </c:pt>
                <c:pt idx="71">
                  <c:v/>
                </c:pt>
              </c:strCache>
            </c:strRef>
          </c:cat>
          <c:val>
            <c:numRef>
              <c:f>'Share price  - Monthly share pr'!$D$16:$D$87</c:f>
              <c:numCache>
                <c:ptCount val="71"/>
                <c:pt idx="0">
                  <c:v>1205.000000</c:v>
                </c:pt>
                <c:pt idx="1">
                  <c:v>1120.000000</c:v>
                </c:pt>
                <c:pt idx="2">
                  <c:v>875.000000</c:v>
                </c:pt>
                <c:pt idx="3">
                  <c:v>825.000000</c:v>
                </c:pt>
                <c:pt idx="4">
                  <c:v>740.000000</c:v>
                </c:pt>
                <c:pt idx="5">
                  <c:v>590.000000</c:v>
                </c:pt>
                <c:pt idx="6">
                  <c:v>525.000000</c:v>
                </c:pt>
                <c:pt idx="7">
                  <c:v>450.000000</c:v>
                </c:pt>
                <c:pt idx="8">
                  <c:v>560.000000</c:v>
                </c:pt>
                <c:pt idx="9">
                  <c:v>640.000000</c:v>
                </c:pt>
                <c:pt idx="10">
                  <c:v>570.000000</c:v>
                </c:pt>
                <c:pt idx="11">
                  <c:v>545.000000</c:v>
                </c:pt>
                <c:pt idx="12">
                  <c:v>525.000000</c:v>
                </c:pt>
                <c:pt idx="13">
                  <c:v>497.000000</c:v>
                </c:pt>
                <c:pt idx="14">
                  <c:v>690.000000</c:v>
                </c:pt>
                <c:pt idx="15">
                  <c:v>735.000000</c:v>
                </c:pt>
                <c:pt idx="16">
                  <c:v>645.000000</c:v>
                </c:pt>
                <c:pt idx="17">
                  <c:v>585.000000</c:v>
                </c:pt>
                <c:pt idx="18">
                  <c:v>800.000000</c:v>
                </c:pt>
                <c:pt idx="19">
                  <c:v>835.000000</c:v>
                </c:pt>
                <c:pt idx="20">
                  <c:v>670.000000</c:v>
                </c:pt>
                <c:pt idx="21">
                  <c:v>655.000000</c:v>
                </c:pt>
                <c:pt idx="22">
                  <c:v>610.000000</c:v>
                </c:pt>
                <c:pt idx="23">
                  <c:v>600.000000</c:v>
                </c:pt>
                <c:pt idx="24">
                  <c:v>610.000000</c:v>
                </c:pt>
                <c:pt idx="25">
                  <c:v>615.000000</c:v>
                </c:pt>
                <c:pt idx="26">
                  <c:v>605.000000</c:v>
                </c:pt>
                <c:pt idx="27">
                  <c:v>730.000000</c:v>
                </c:pt>
                <c:pt idx="28">
                  <c:v>655.000000</c:v>
                </c:pt>
                <c:pt idx="29">
                  <c:v>630.000000</c:v>
                </c:pt>
                <c:pt idx="30">
                  <c:v>640.000000</c:v>
                </c:pt>
                <c:pt idx="31">
                  <c:v>700.000000</c:v>
                </c:pt>
                <c:pt idx="32">
                  <c:v>830.000000</c:v>
                </c:pt>
                <c:pt idx="33">
                  <c:v>790.000000</c:v>
                </c:pt>
                <c:pt idx="34">
                  <c:v>730.000000</c:v>
                </c:pt>
                <c:pt idx="35">
                  <c:v>735.000000</c:v>
                </c:pt>
                <c:pt idx="36">
                  <c:v>840.000000</c:v>
                </c:pt>
                <c:pt idx="37">
                  <c:v>995.000000</c:v>
                </c:pt>
                <c:pt idx="38">
                  <c:v>1265.000000</c:v>
                </c:pt>
                <c:pt idx="39">
                  <c:v>1710.000000</c:v>
                </c:pt>
                <c:pt idx="40">
                  <c:v>2570.000000</c:v>
                </c:pt>
                <c:pt idx="41">
                  <c:v>2440.000000</c:v>
                </c:pt>
                <c:pt idx="42">
                  <c:v>3120.000000</c:v>
                </c:pt>
                <c:pt idx="43">
                  <c:v>2680.000000</c:v>
                </c:pt>
                <c:pt idx="44">
                  <c:v>2400.000000</c:v>
                </c:pt>
                <c:pt idx="45">
                  <c:v>1700.000000</c:v>
                </c:pt>
                <c:pt idx="46">
                  <c:v>2210.000000</c:v>
                </c:pt>
                <c:pt idx="47">
                  <c:v>2200.000000</c:v>
                </c:pt>
                <c:pt idx="48">
                  <c:v>2290.000000</c:v>
                </c:pt>
                <c:pt idx="49">
                  <c:v>2090.000000</c:v>
                </c:pt>
                <c:pt idx="50">
                  <c:v>1770.000000</c:v>
                </c:pt>
                <c:pt idx="51">
                  <c:v>1450.000000</c:v>
                </c:pt>
                <c:pt idx="52">
                  <c:v>1175.000000</c:v>
                </c:pt>
                <c:pt idx="53">
                  <c:v>1920.000000</c:v>
                </c:pt>
                <c:pt idx="54">
                  <c:v>2100.000000</c:v>
                </c:pt>
                <c:pt idx="55">
                  <c:v>1550.000000</c:v>
                </c:pt>
                <c:pt idx="56">
                  <c:v>1825.000000</c:v>
                </c:pt>
                <c:pt idx="57">
                  <c:v>1760.000000</c:v>
                </c:pt>
                <c:pt idx="58">
                  <c:v>1525.000000</c:v>
                </c:pt>
                <c:pt idx="59">
                  <c:v>1795.000000</c:v>
                </c:pt>
                <c:pt idx="60">
                  <c:v>1590.000000</c:v>
                </c:pt>
                <c:pt idx="61">
                  <c:v>1620.000000</c:v>
                </c:pt>
                <c:pt idx="62">
                  <c:v>935.000000</c:v>
                </c:pt>
                <c:pt idx="63">
                  <c:v>1260.000000</c:v>
                </c:pt>
                <c:pt idx="64">
                  <c:v>1255.000000</c:v>
                </c:pt>
                <c:pt idx="65">
                  <c:v>1255.000000</c:v>
                </c:pt>
                <c:pt idx="66">
                  <c:v>1470.000000</c:v>
                </c:pt>
                <c:pt idx="67">
                  <c:v>1720.000000</c:v>
                </c:pt>
                <c:pt idx="68">
                  <c:v>1545.000000</c:v>
                </c:pt>
                <c:pt idx="69">
                  <c:v>1745.000000</c:v>
                </c:pt>
                <c:pt idx="70">
                  <c:v>1775.000000</c:v>
                </c:pt>
              </c:numCache>
            </c:numRef>
          </c:val>
          <c:smooth val="0"/>
        </c:ser>
        <c:ser>
          <c:idx val="1"/>
          <c:order val="1"/>
          <c:tx>
            <c:strRef>
              <c:f>'Share price  - Monthly share pr'!$E$3</c:f>
              <c:strCache>
                <c:ptCount val="1"/>
                <c:pt idx="0">
                  <c:v>Target</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'Share price  - Monthly share pr'!$B$16:$B$87</c:f>
              <c:strCache>
                <c:ptCount val="72"/>
                <c:pt idx="0">
                  <c:v>2015</c:v>
                </c:pt>
                <c:pt idx="1">
                  <c:v/>
                </c:pt>
                <c:pt idx="2">
                  <c:v/>
                </c:pt>
                <c:pt idx="3">
                  <c:v/>
                </c:pt>
                <c:pt idx="4">
                  <c:v/>
                </c:pt>
                <c:pt idx="5">
                  <c:v/>
                </c:pt>
                <c:pt idx="6">
                  <c:v/>
                </c:pt>
                <c:pt idx="7">
                  <c:v/>
                </c:pt>
                <c:pt idx="8">
                  <c:v/>
                </c:pt>
                <c:pt idx="9">
                  <c:v/>
                </c:pt>
                <c:pt idx="10">
                  <c:v/>
                </c:pt>
                <c:pt idx="11">
                  <c:v/>
                </c:pt>
                <c:pt idx="12">
                  <c:v>2016</c:v>
                </c:pt>
                <c:pt idx="13">
                  <c:v/>
                </c:pt>
                <c:pt idx="14">
                  <c:v/>
                </c:pt>
                <c:pt idx="15">
                  <c:v/>
                </c:pt>
                <c:pt idx="16">
                  <c:v/>
                </c:pt>
                <c:pt idx="17">
                  <c:v/>
                </c:pt>
                <c:pt idx="18">
                  <c:v/>
                </c:pt>
                <c:pt idx="19">
                  <c:v/>
                </c:pt>
                <c:pt idx="20">
                  <c:v/>
                </c:pt>
                <c:pt idx="21">
                  <c:v/>
                </c:pt>
                <c:pt idx="22">
                  <c:v/>
                </c:pt>
                <c:pt idx="23">
                  <c:v/>
                </c:pt>
                <c:pt idx="24">
                  <c:v>2017</c:v>
                </c:pt>
                <c:pt idx="25">
                  <c:v/>
                </c:pt>
                <c:pt idx="26">
                  <c:v/>
                </c:pt>
                <c:pt idx="27">
                  <c:v/>
                </c:pt>
                <c:pt idx="28">
                  <c:v/>
                </c:pt>
                <c:pt idx="29">
                  <c:v/>
                </c:pt>
                <c:pt idx="30">
                  <c:v/>
                </c:pt>
                <c:pt idx="31">
                  <c:v/>
                </c:pt>
                <c:pt idx="32">
                  <c:v/>
                </c:pt>
                <c:pt idx="33">
                  <c:v/>
                </c:pt>
                <c:pt idx="34">
                  <c:v/>
                </c:pt>
                <c:pt idx="35">
                  <c:v/>
                </c:pt>
                <c:pt idx="36">
                  <c:v>2018</c:v>
                </c:pt>
                <c:pt idx="37">
                  <c:v/>
                </c:pt>
                <c:pt idx="38">
                  <c:v/>
                </c:pt>
                <c:pt idx="39">
                  <c:v/>
                </c:pt>
                <c:pt idx="40">
                  <c:v/>
                </c:pt>
                <c:pt idx="41">
                  <c:v/>
                </c:pt>
                <c:pt idx="42">
                  <c:v/>
                </c:pt>
                <c:pt idx="43">
                  <c:v/>
                </c:pt>
                <c:pt idx="44">
                  <c:v/>
                </c:pt>
                <c:pt idx="45">
                  <c:v/>
                </c:pt>
                <c:pt idx="46">
                  <c:v/>
                </c:pt>
                <c:pt idx="47">
                  <c:v/>
                </c:pt>
                <c:pt idx="48">
                  <c:v>2019</c:v>
                </c:pt>
                <c:pt idx="49">
                  <c:v/>
                </c:pt>
                <c:pt idx="50">
                  <c:v/>
                </c:pt>
                <c:pt idx="51">
                  <c:v/>
                </c:pt>
                <c:pt idx="52">
                  <c:v/>
                </c:pt>
                <c:pt idx="53">
                  <c:v/>
                </c:pt>
                <c:pt idx="54">
                  <c:v/>
                </c:pt>
                <c:pt idx="55">
                  <c:v/>
                </c:pt>
                <c:pt idx="56">
                  <c:v/>
                </c:pt>
                <c:pt idx="57">
                  <c:v/>
                </c:pt>
                <c:pt idx="58">
                  <c:v/>
                </c:pt>
                <c:pt idx="59">
                  <c:v/>
                </c:pt>
                <c:pt idx="60">
                  <c:v>2020</c:v>
                </c:pt>
                <c:pt idx="61">
                  <c:v/>
                </c:pt>
                <c:pt idx="62">
                  <c:v/>
                </c:pt>
                <c:pt idx="63">
                  <c:v/>
                </c:pt>
                <c:pt idx="64">
                  <c:v/>
                </c:pt>
                <c:pt idx="65">
                  <c:v/>
                </c:pt>
                <c:pt idx="66">
                  <c:v/>
                </c:pt>
                <c:pt idx="67">
                  <c:v/>
                </c:pt>
                <c:pt idx="68">
                  <c:v/>
                </c:pt>
                <c:pt idx="69">
                  <c:v/>
                </c:pt>
                <c:pt idx="70">
                  <c:v/>
                </c:pt>
                <c:pt idx="71">
                  <c:v/>
                </c:pt>
              </c:strCache>
            </c:strRef>
          </c:cat>
          <c:val>
            <c:numRef>
              <c:f>'Share price  - Monthly share pr'!$E$16:$E$87</c:f>
              <c:numCache>
                <c:ptCount val="2"/>
                <c:pt idx="70">
                  <c:v>1775.000000</c:v>
                </c:pt>
                <c:pt idx="71">
                  <c:v>2108.847415</c:v>
                </c:pt>
              </c:numCache>
            </c:numRef>
          </c:val>
          <c:smooth val="0"/>
        </c:ser>
        <c:marker val="1"/>
        <c:axId val="2094734552"/>
        <c:axId val="2094734553"/>
      </c:lineChart>
      <c:catAx>
        <c:axId val="2094734552"/>
        <c:scaling>
          <c:orientation val="minMax"/>
        </c:scaling>
        <c:delete val="0"/>
        <c:axPos val="b"/>
        <c:numFmt formatCode="#,##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12700" cap="flat">
              <a:solidFill>
                <a:srgbClr val="B8B8B8"/>
              </a:solidFill>
              <a:prstDash val="solid"/>
              <a:miter lim="400000"/>
            </a:ln>
          </c:spPr>
        </c:majorGridlines>
        <c:numFmt formatCode="#,##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000"/>
        <c:minorUnit val="500"/>
      </c:valAx>
      <c:spPr>
        <a:noFill/>
        <a:ln w="12700" cap="flat">
          <a:noFill/>
          <a:miter lim="400000"/>
        </a:ln>
        <a:effectLst/>
      </c:spPr>
    </c:plotArea>
    <c:legend>
      <c:legendPos val="r"/>
      <c:layout>
        <c:manualLayout>
          <c:xMode val="edge"/>
          <c:yMode val="edge"/>
          <c:x val="0.24818"/>
          <c:y val="0.0958765"/>
          <c:w val="0.306056"/>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s>

</file>

<file path=xl/drawings/_rels/drawing2.xml.rels><?xml version="1.0" encoding="UTF-8"?>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 Id="rId3" Type="http://schemas.openxmlformats.org/officeDocument/2006/relationships/chart" Target="../charts/chart4.xml"/><Relationship Id="rId4" Type="http://schemas.openxmlformats.org/officeDocument/2006/relationships/chart" Target="../charts/chart5.xml"/><Relationship Id="rId5" Type="http://schemas.openxmlformats.org/officeDocument/2006/relationships/chart" Target="../charts/chart6.xml"/><Relationship Id="rId6" Type="http://schemas.openxmlformats.org/officeDocument/2006/relationships/chart" Target="../charts/chart7.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22</xdr:col>
      <xdr:colOff>301306</xdr:colOff>
      <xdr:row>33</xdr:row>
      <xdr:rowOff>63707</xdr:rowOff>
    </xdr:from>
    <xdr:to>
      <xdr:col>25</xdr:col>
      <xdr:colOff>716173</xdr:colOff>
      <xdr:row>56</xdr:row>
      <xdr:rowOff>76406</xdr:rowOff>
    </xdr:to>
    <xdr:graphicFrame>
      <xdr:nvGraphicFramePr>
        <xdr:cNvPr id="2" name="Chart 2"/>
        <xdr:cNvGraphicFramePr/>
      </xdr:nvGraphicFramePr>
      <xdr:xfrm>
        <a:off x="17065306" y="5512007"/>
        <a:ext cx="2700868" cy="3810000"/>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9</xdr:col>
      <xdr:colOff>639931</xdr:colOff>
      <xdr:row>31</xdr:row>
      <xdr:rowOff>243232</xdr:rowOff>
    </xdr:from>
    <xdr:to>
      <xdr:col>12</xdr:col>
      <xdr:colOff>551031</xdr:colOff>
      <xdr:row>45</xdr:row>
      <xdr:rowOff>185015</xdr:rowOff>
    </xdr:to>
    <xdr:graphicFrame>
      <xdr:nvGraphicFramePr>
        <xdr:cNvPr id="4" name="Chart 4"/>
        <xdr:cNvGraphicFramePr/>
      </xdr:nvGraphicFramePr>
      <xdr:xfrm>
        <a:off x="8755231" y="8490612"/>
        <a:ext cx="3644901" cy="3487624"/>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6</xdr:col>
      <xdr:colOff>666169</xdr:colOff>
      <xdr:row>2</xdr:row>
      <xdr:rowOff>26486</xdr:rowOff>
    </xdr:from>
    <xdr:to>
      <xdr:col>9</xdr:col>
      <xdr:colOff>503462</xdr:colOff>
      <xdr:row>15</xdr:row>
      <xdr:rowOff>46374</xdr:rowOff>
    </xdr:to>
    <xdr:graphicFrame>
      <xdr:nvGraphicFramePr>
        <xdr:cNvPr id="5" name="Chart 5"/>
        <xdr:cNvGraphicFramePr/>
      </xdr:nvGraphicFramePr>
      <xdr:xfrm>
        <a:off x="5047669" y="731971"/>
        <a:ext cx="3571094" cy="3487624"/>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9</xdr:col>
      <xdr:colOff>540164</xdr:colOff>
      <xdr:row>2</xdr:row>
      <xdr:rowOff>11156</xdr:rowOff>
    </xdr:from>
    <xdr:to>
      <xdr:col>12</xdr:col>
      <xdr:colOff>554278</xdr:colOff>
      <xdr:row>15</xdr:row>
      <xdr:rowOff>61704</xdr:rowOff>
    </xdr:to>
    <xdr:graphicFrame>
      <xdr:nvGraphicFramePr>
        <xdr:cNvPr id="6" name="Chart 6"/>
        <xdr:cNvGraphicFramePr/>
      </xdr:nvGraphicFramePr>
      <xdr:xfrm>
        <a:off x="8655464" y="716641"/>
        <a:ext cx="3747915" cy="3518284"/>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6</xdr:col>
      <xdr:colOff>754050</xdr:colOff>
      <xdr:row>16</xdr:row>
      <xdr:rowOff>116679</xdr:rowOff>
    </xdr:from>
    <xdr:to>
      <xdr:col>9</xdr:col>
      <xdr:colOff>526325</xdr:colOff>
      <xdr:row>30</xdr:row>
      <xdr:rowOff>39412</xdr:rowOff>
    </xdr:to>
    <xdr:graphicFrame>
      <xdr:nvGraphicFramePr>
        <xdr:cNvPr id="7" name="Chart 7"/>
        <xdr:cNvGraphicFramePr/>
      </xdr:nvGraphicFramePr>
      <xdr:xfrm>
        <a:off x="5135550" y="4544534"/>
        <a:ext cx="3506076" cy="3487624"/>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9</xdr:col>
      <xdr:colOff>675986</xdr:colOff>
      <xdr:row>16</xdr:row>
      <xdr:rowOff>116679</xdr:rowOff>
    </xdr:from>
    <xdr:to>
      <xdr:col>12</xdr:col>
      <xdr:colOff>545455</xdr:colOff>
      <xdr:row>30</xdr:row>
      <xdr:rowOff>39412</xdr:rowOff>
    </xdr:to>
    <xdr:graphicFrame>
      <xdr:nvGraphicFramePr>
        <xdr:cNvPr id="8" name="Chart 8"/>
        <xdr:cNvGraphicFramePr/>
      </xdr:nvGraphicFramePr>
      <xdr:xfrm>
        <a:off x="8791286" y="4544534"/>
        <a:ext cx="3603270" cy="3487624"/>
      </xdr:xfrm>
      <a:graphic xmlns:a="http://schemas.openxmlformats.org/drawingml/2006/main">
        <a:graphicData uri="http://schemas.openxmlformats.org/drawingml/2006/chart">
          <c:chart xmlns:c="http://schemas.openxmlformats.org/drawingml/2006/chart" r:id="rId5"/>
        </a:graphicData>
      </a:graphic>
    </xdr:graphicFrame>
    <xdr:clientData/>
  </xdr:twoCellAnchor>
  <xdr:twoCellAnchor>
    <xdr:from>
      <xdr:col>6</xdr:col>
      <xdr:colOff>717920</xdr:colOff>
      <xdr:row>31</xdr:row>
      <xdr:rowOff>243232</xdr:rowOff>
    </xdr:from>
    <xdr:to>
      <xdr:col>9</xdr:col>
      <xdr:colOff>522323</xdr:colOff>
      <xdr:row>45</xdr:row>
      <xdr:rowOff>185015</xdr:rowOff>
    </xdr:to>
    <xdr:graphicFrame>
      <xdr:nvGraphicFramePr>
        <xdr:cNvPr id="9" name="Chart 9"/>
        <xdr:cNvGraphicFramePr/>
      </xdr:nvGraphicFramePr>
      <xdr:xfrm>
        <a:off x="5099420" y="8490612"/>
        <a:ext cx="3538204" cy="3487624"/>
      </xdr:xfrm>
      <a:graphic xmlns:a="http://schemas.openxmlformats.org/drawingml/2006/main">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5.xml.rels><?xml version="1.0" encoding="UTF-8"?>
<Relationships xmlns="http://schemas.openxmlformats.org/package/2006/relationships"><Relationship Id="rId1" Type="http://schemas.openxmlformats.org/officeDocument/2006/relationships/drawing" Target="../drawings/drawing1.xml"/></Relationships>

</file>

<file path=xl/worksheets/_rels/sheet8.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17</v>
      </c>
      <c r="C11" s="3"/>
      <c r="D11" s="3"/>
    </row>
    <row r="12">
      <c r="B12" s="4"/>
      <c r="C12" t="s" s="4">
        <v>18</v>
      </c>
      <c r="D12" t="s" s="5">
        <v>19</v>
      </c>
    </row>
    <row r="13">
      <c r="B13" s="4"/>
      <c r="C13" t="s" s="4">
        <v>27</v>
      </c>
      <c r="D13" t="s" s="5">
        <v>28</v>
      </c>
    </row>
    <row r="14">
      <c r="B14" s="4"/>
      <c r="C14" t="s" s="4">
        <v>37</v>
      </c>
      <c r="D14" t="s" s="5">
        <v>38</v>
      </c>
    </row>
    <row r="15">
      <c r="B15" t="s" s="3">
        <v>39</v>
      </c>
      <c r="C15" s="3"/>
      <c r="D15" s="3"/>
    </row>
    <row r="16">
      <c r="B16" s="4"/>
      <c r="C16" t="s" s="4">
        <v>40</v>
      </c>
      <c r="D16" t="s" s="5">
        <v>41</v>
      </c>
    </row>
    <row r="17">
      <c r="B17" t="s" s="3">
        <v>50</v>
      </c>
      <c r="C17" s="3"/>
      <c r="D17" s="3"/>
    </row>
    <row r="18">
      <c r="B18" s="4"/>
      <c r="C18" t="s" s="4">
        <v>51</v>
      </c>
      <c r="D18" t="s" s="5">
        <v>52</v>
      </c>
    </row>
    <row r="19">
      <c r="B19" t="s" s="3">
        <v>56</v>
      </c>
      <c r="C19" s="3"/>
      <c r="D19" s="3"/>
    </row>
    <row r="20">
      <c r="B20" s="4"/>
      <c r="C20" t="s" s="4">
        <v>57</v>
      </c>
      <c r="D20" t="s" s="5">
        <v>58</v>
      </c>
    </row>
    <row r="21">
      <c r="B21" t="s" s="3">
        <v>84</v>
      </c>
      <c r="C21" s="3"/>
      <c r="D21" s="3"/>
    </row>
    <row r="22">
      <c r="B22" s="4"/>
      <c r="C22" t="s" s="4">
        <v>85</v>
      </c>
      <c r="D22" t="s" s="5">
        <v>86</v>
      </c>
    </row>
  </sheetData>
  <mergeCells count="1">
    <mergeCell ref="B3:D3"/>
  </mergeCells>
  <hyperlinks>
    <hyperlink ref="D10" location="'Cash flow - Quarterly cash flow'!R3C2" tooltip="" display="Cash flow - Quarterly cash flow"/>
    <hyperlink ref="D12" location="'Balance sheet - Assets'!R2C1" tooltip="" display="Balance sheet - Assets"/>
    <hyperlink ref="D13" location="'Balance sheet - Liabilities'!R2C1" tooltip="" display="Balance sheet - Liabilities"/>
    <hyperlink ref="D14" location="'Balance sheet - Drawings'!R1C1" tooltip="" display="Balance sheet - Drawings"/>
    <hyperlink ref="D16" location="'Profit  - Quarterly profit'!R3C2" tooltip="" display="Profit  - Quarterly profit"/>
    <hyperlink ref="D18" location="'Share price  - Monthly share pr'!R3C2" tooltip="" display="Share price  - Monthly share pr"/>
    <hyperlink ref="D20" location="'Model - Financial model'!R3C2" tooltip="" display="Model - Financial model"/>
    <hyperlink ref="D22" location="'Valuation  - Valuation'!R3C2" tooltip="" display="Valuation  - Valuation"/>
  </hyperlinks>
</worksheet>
</file>

<file path=xl/worksheets/sheet2.xml><?xml version="1.0" encoding="utf-8"?>
<worksheet xmlns:r="http://schemas.openxmlformats.org/officeDocument/2006/relationships" xmlns="http://schemas.openxmlformats.org/spreadsheetml/2006/main">
  <sheetPr>
    <pageSetUpPr fitToPage="1"/>
  </sheetPr>
  <dimension ref="B3:L31"/>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12.0938" style="6" customWidth="1"/>
    <col min="2" max="2" width="8.39062" style="6" customWidth="1"/>
    <col min="3" max="4" hidden="1" width="16.3333" style="6" customWidth="1"/>
    <col min="5" max="7" width="10.9219" style="6" customWidth="1"/>
    <col min="8" max="8" width="11.3203" style="6" customWidth="1"/>
    <col min="9" max="12" width="9.97656" style="6" customWidth="1"/>
    <col min="13" max="16384" width="16.3516" style="6" customWidth="1"/>
  </cols>
  <sheetData>
    <row r="1" ht="59.05" customHeight="1"/>
    <row r="2" ht="27.65" customHeight="1">
      <c r="B2" t="s" s="7">
        <v>5</v>
      </c>
      <c r="C2" s="7"/>
      <c r="D2" s="7"/>
      <c r="E2" s="7"/>
      <c r="F2" s="7"/>
      <c r="G2" s="7"/>
      <c r="H2" s="7"/>
      <c r="I2" s="7"/>
      <c r="J2" s="7"/>
      <c r="K2" s="7"/>
      <c r="L2" s="7"/>
    </row>
    <row r="3" ht="44.25" customHeight="1">
      <c r="B3" t="s" s="8">
        <v>7</v>
      </c>
      <c r="C3" t="s" s="9">
        <v>8</v>
      </c>
      <c r="D3" t="s" s="9">
        <v>9</v>
      </c>
      <c r="E3" t="s" s="8">
        <v>8</v>
      </c>
      <c r="F3" t="s" s="8">
        <v>10</v>
      </c>
      <c r="G3" t="s" s="8">
        <v>11</v>
      </c>
      <c r="H3" t="s" s="8">
        <v>12</v>
      </c>
      <c r="I3" t="s" s="8">
        <v>13</v>
      </c>
      <c r="J3" t="s" s="8">
        <v>14</v>
      </c>
      <c r="K3" t="s" s="8">
        <v>15</v>
      </c>
      <c r="L3" t="s" s="8">
        <v>16</v>
      </c>
    </row>
    <row r="4" ht="20.25" customHeight="1">
      <c r="B4" s="10">
        <v>2014</v>
      </c>
      <c r="C4" s="11">
        <f>#REF!</f>
      </c>
      <c r="D4" s="11">
        <f>#REF!</f>
      </c>
      <c r="E4" s="11"/>
      <c r="F4" s="11"/>
      <c r="G4" s="11">
        <v>-433.9</v>
      </c>
      <c r="H4" s="11">
        <v>-37.9</v>
      </c>
      <c r="I4" s="11">
        <v>387.7</v>
      </c>
      <c r="J4" s="11">
        <f>G4+H4-F4</f>
        <v>-471.8</v>
      </c>
      <c r="K4" s="11"/>
      <c r="L4" s="12">
        <f>-I4</f>
        <v>-387.7</v>
      </c>
    </row>
    <row r="5" ht="20.05" customHeight="1">
      <c r="B5" s="13"/>
      <c r="C5" s="14">
        <f>#REF!-#REF!</f>
      </c>
      <c r="D5" s="14">
        <f>#REF!-#REF!</f>
      </c>
      <c r="E5" s="14"/>
      <c r="F5" s="14">
        <f>('Balance sheet - Assets'!D3-'Balance sheet - Assets'!D4)+('Balance sheet - Liabilities'!F4-'Balance sheet - Liabilities'!F3)</f>
        <v>5.3</v>
      </c>
      <c r="G5" s="14">
        <v>21.9</v>
      </c>
      <c r="H5" s="14">
        <v>-146.7</v>
      </c>
      <c r="I5" s="14">
        <v>-212.5</v>
      </c>
      <c r="J5" s="14">
        <f>G5+H5-F5</f>
        <v>-130.1</v>
      </c>
      <c r="K5" s="14"/>
      <c r="L5" s="15">
        <f>-I5+L4</f>
        <v>-175.2</v>
      </c>
    </row>
    <row r="6" ht="20.05" customHeight="1">
      <c r="B6" s="13"/>
      <c r="C6" s="14">
        <f>#REF!-#REF!</f>
      </c>
      <c r="D6" s="14">
        <f>#REF!-#REF!</f>
      </c>
      <c r="E6" s="14"/>
      <c r="F6" s="14">
        <f>('Balance sheet - Assets'!D4-'Balance sheet - Assets'!D5)+('Balance sheet - Liabilities'!F5-'Balance sheet - Liabilities'!F4)</f>
        <v>180.8</v>
      </c>
      <c r="G6" s="14">
        <v>268.7</v>
      </c>
      <c r="H6" s="14">
        <v>-48.6</v>
      </c>
      <c r="I6" s="14">
        <v>382.7</v>
      </c>
      <c r="J6" s="14">
        <f>G6+H6-F6</f>
        <v>39.3</v>
      </c>
      <c r="K6" s="14"/>
      <c r="L6" s="15">
        <f>-I6+L5</f>
        <v>-557.9</v>
      </c>
    </row>
    <row r="7" ht="20.05" customHeight="1">
      <c r="B7" s="13"/>
      <c r="C7" s="14">
        <f>#REF!-#REF!</f>
      </c>
      <c r="D7" s="14">
        <f>#REF!-#REF!</f>
      </c>
      <c r="E7" s="14"/>
      <c r="F7" s="14">
        <f>('Balance sheet - Assets'!D5-'Balance sheet - Assets'!D6)+('Balance sheet - Liabilities'!F6-'Balance sheet - Liabilities'!F5)</f>
        <v>280.6</v>
      </c>
      <c r="G7" s="14">
        <v>161.8</v>
      </c>
      <c r="H7" s="14">
        <v>-87.59999999999999</v>
      </c>
      <c r="I7" s="14">
        <v>34.2</v>
      </c>
      <c r="J7" s="14">
        <f>G7+H7-F7</f>
        <v>-206.4</v>
      </c>
      <c r="K7" s="14"/>
      <c r="L7" s="15">
        <f>-I7+L6</f>
        <v>-592.1</v>
      </c>
    </row>
    <row r="8" ht="20.05" customHeight="1">
      <c r="B8" s="16">
        <v>2015</v>
      </c>
      <c r="C8" s="14">
        <f>#REF!</f>
      </c>
      <c r="D8" s="14">
        <f>#REF!</f>
      </c>
      <c r="E8" s="14"/>
      <c r="F8" s="14">
        <f>('Balance sheet - Assets'!D6-'Balance sheet - Assets'!D7)+('Balance sheet - Liabilities'!F7-'Balance sheet - Liabilities'!F6)</f>
        <v>-69</v>
      </c>
      <c r="G8" s="14">
        <v>-79.09999999999999</v>
      </c>
      <c r="H8" s="14">
        <v>-50</v>
      </c>
      <c r="I8" s="14">
        <v>48.7</v>
      </c>
      <c r="J8" s="14">
        <f>G8+H8-F8</f>
        <v>-60.1</v>
      </c>
      <c r="K8" s="14"/>
      <c r="L8" s="15">
        <f>-I8+L7</f>
        <v>-640.8</v>
      </c>
    </row>
    <row r="9" ht="20.05" customHeight="1">
      <c r="B9" s="13"/>
      <c r="C9" s="14">
        <f>#REF!-#REF!</f>
      </c>
      <c r="D9" s="14">
        <f>#REF!-#REF!</f>
      </c>
      <c r="E9" s="14"/>
      <c r="F9" s="14">
        <f>('Balance sheet - Assets'!D7-'Balance sheet - Assets'!D8)+('Balance sheet - Liabilities'!F8-'Balance sheet - Liabilities'!F7)</f>
        <v>337.6</v>
      </c>
      <c r="G9" s="14">
        <v>336.1</v>
      </c>
      <c r="H9" s="14">
        <v>-59.9</v>
      </c>
      <c r="I9" s="14">
        <v>-349.1</v>
      </c>
      <c r="J9" s="14">
        <f>G9+H9-F9</f>
        <v>-61.4</v>
      </c>
      <c r="K9" s="14"/>
      <c r="L9" s="15">
        <f>-I9+L8</f>
        <v>-291.7</v>
      </c>
    </row>
    <row r="10" ht="20.05" customHeight="1">
      <c r="B10" s="13"/>
      <c r="C10" s="14">
        <f>#REF!-#REF!</f>
      </c>
      <c r="D10" s="14">
        <f>#REF!-#REF!</f>
      </c>
      <c r="E10" s="14"/>
      <c r="F10" s="14">
        <f>('Balance sheet - Assets'!D8-'Balance sheet - Assets'!D9)+('Balance sheet - Liabilities'!F9-'Balance sheet - Liabilities'!F8)</f>
        <v>312.3</v>
      </c>
      <c r="G10" s="14">
        <v>361.5</v>
      </c>
      <c r="H10" s="14">
        <v>-53.1</v>
      </c>
      <c r="I10" s="14">
        <v>-386</v>
      </c>
      <c r="J10" s="14">
        <f>G10+H10-F10</f>
        <v>-3.9</v>
      </c>
      <c r="K10" s="14"/>
      <c r="L10" s="15">
        <f>-I10+L9</f>
        <v>94.3</v>
      </c>
    </row>
    <row r="11" ht="20.05" customHeight="1">
      <c r="B11" s="13"/>
      <c r="C11" s="14">
        <f>#REF!-#REF!</f>
      </c>
      <c r="D11" s="14">
        <f>#REF!-#REF!</f>
      </c>
      <c r="E11" s="14"/>
      <c r="F11" s="14">
        <f>('Balance sheet - Assets'!D9-'Balance sheet - Assets'!D10)+('Balance sheet - Liabilities'!F10-'Balance sheet - Liabilities'!F9)</f>
        <v>-302</v>
      </c>
      <c r="G11" s="14">
        <v>-425.2</v>
      </c>
      <c r="H11" s="14">
        <v>-54.2</v>
      </c>
      <c r="I11" s="14">
        <v>343.7</v>
      </c>
      <c r="J11" s="14">
        <f>G11+H11-F11</f>
        <v>-177.4</v>
      </c>
      <c r="K11" s="14"/>
      <c r="L11" s="15">
        <f>-I11+L10</f>
        <v>-249.4</v>
      </c>
    </row>
    <row r="12" ht="20.05" customHeight="1">
      <c r="B12" s="16">
        <v>2016</v>
      </c>
      <c r="C12" s="14">
        <f>#REF!</f>
      </c>
      <c r="D12" s="14">
        <f>#REF!</f>
      </c>
      <c r="E12" s="14"/>
      <c r="F12" s="14">
        <f>('Balance sheet - Assets'!D10-'Balance sheet - Assets'!D11)+('Balance sheet - Liabilities'!F11-'Balance sheet - Liabilities'!F10)</f>
        <v>-526.3</v>
      </c>
      <c r="G12" s="14">
        <v>-349.8</v>
      </c>
      <c r="H12" s="14">
        <v>-51.1</v>
      </c>
      <c r="I12" s="14">
        <v>198.8</v>
      </c>
      <c r="J12" s="14">
        <f>G12+H12-F12</f>
        <v>125.4</v>
      </c>
      <c r="K12" s="14"/>
      <c r="L12" s="15">
        <f>-I12+L11</f>
        <v>-448.2</v>
      </c>
    </row>
    <row r="13" ht="20.05" customHeight="1">
      <c r="B13" s="13"/>
      <c r="C13" s="14">
        <f>#REF!-#REF!</f>
      </c>
      <c r="D13" s="14">
        <f>#REF!-#REF!</f>
      </c>
      <c r="E13" s="14"/>
      <c r="F13" s="14">
        <f>('Balance sheet - Assets'!D11-'Balance sheet - Assets'!D12)+('Balance sheet - Liabilities'!F12-'Balance sheet - Liabilities'!F11)</f>
        <v>123.2</v>
      </c>
      <c r="G13" s="14">
        <v>599.2</v>
      </c>
      <c r="H13" s="14">
        <v>-78.09999999999999</v>
      </c>
      <c r="I13" s="14">
        <v>-291.2</v>
      </c>
      <c r="J13" s="14">
        <f>G13+H13-F13</f>
        <v>397.9</v>
      </c>
      <c r="K13" s="14"/>
      <c r="L13" s="15">
        <f>-I13+L12</f>
        <v>-157</v>
      </c>
    </row>
    <row r="14" ht="20.05" customHeight="1">
      <c r="B14" s="13"/>
      <c r="C14" s="14">
        <f>#REF!-#REF!</f>
      </c>
      <c r="D14" s="14">
        <f>#REF!-#REF!</f>
      </c>
      <c r="E14" s="14"/>
      <c r="F14" s="14">
        <f>('Balance sheet - Assets'!D12-'Balance sheet - Assets'!D13)+('Balance sheet - Liabilities'!F13-'Balance sheet - Liabilities'!F12)</f>
        <v>379.5</v>
      </c>
      <c r="G14" s="14">
        <v>366.9</v>
      </c>
      <c r="H14" s="14">
        <v>-58.1</v>
      </c>
      <c r="I14" s="14">
        <v>-375.8</v>
      </c>
      <c r="J14" s="14">
        <f>G14+H14-F14</f>
        <v>-70.7</v>
      </c>
      <c r="K14" s="14"/>
      <c r="L14" s="15">
        <f>-I14+L13</f>
        <v>218.8</v>
      </c>
    </row>
    <row r="15" ht="20.05" customHeight="1">
      <c r="B15" s="13"/>
      <c r="C15" s="14">
        <f>#REF!-#REF!</f>
      </c>
      <c r="D15" s="14">
        <f>#REF!-#REF!</f>
      </c>
      <c r="E15" s="14"/>
      <c r="F15" s="14">
        <f>('Balance sheet - Assets'!D13-'Balance sheet - Assets'!D14)+('Balance sheet - Liabilities'!F14-'Balance sheet - Liabilities'!F13)</f>
        <v>900.7</v>
      </c>
      <c r="G15" s="14">
        <v>852.7</v>
      </c>
      <c r="H15" s="14">
        <v>-35.9</v>
      </c>
      <c r="I15" s="14">
        <v>-374.1</v>
      </c>
      <c r="J15" s="14">
        <f>G15+H15-F15</f>
        <v>-83.90000000000001</v>
      </c>
      <c r="K15" s="14"/>
      <c r="L15" s="15">
        <f>-I15+L14</f>
        <v>592.9</v>
      </c>
    </row>
    <row r="16" ht="20.05" customHeight="1">
      <c r="B16" s="16">
        <v>2017</v>
      </c>
      <c r="C16" s="14">
        <f>#REF!</f>
      </c>
      <c r="D16" s="14">
        <f>#REF!</f>
      </c>
      <c r="E16" s="14"/>
      <c r="F16" s="14">
        <f>('Balance sheet - Assets'!D14-'Balance sheet - Assets'!D15)+('Balance sheet - Liabilities'!F15-'Balance sheet - Liabilities'!F14)</f>
        <v>-994.5</v>
      </c>
      <c r="G16" s="14">
        <v>-963.6</v>
      </c>
      <c r="H16" s="14">
        <v>-71.09999999999999</v>
      </c>
      <c r="I16" s="14">
        <v>319.1</v>
      </c>
      <c r="J16" s="14">
        <f>G16+H16-F16</f>
        <v>-40.2</v>
      </c>
      <c r="K16" s="14"/>
      <c r="L16" s="15">
        <f>-I16+L15</f>
        <v>273.8</v>
      </c>
    </row>
    <row r="17" ht="20.05" customHeight="1">
      <c r="B17" s="13"/>
      <c r="C17" s="14">
        <f>#REF!-#REF!</f>
      </c>
      <c r="D17" s="14">
        <f>#REF!-#REF!</f>
      </c>
      <c r="E17" s="14"/>
      <c r="F17" s="14">
        <f>('Balance sheet - Assets'!D15-'Balance sheet - Assets'!D16)+('Balance sheet - Liabilities'!F16-'Balance sheet - Liabilities'!F15)</f>
        <v>-448.6</v>
      </c>
      <c r="G17" s="14">
        <v>187.5</v>
      </c>
      <c r="H17" s="14">
        <v>-66.09999999999999</v>
      </c>
      <c r="I17" s="14">
        <v>484.8</v>
      </c>
      <c r="J17" s="14">
        <f>G17+H17-F17</f>
        <v>570</v>
      </c>
      <c r="K17" s="14"/>
      <c r="L17" s="15">
        <f>-I17+L16</f>
        <v>-211</v>
      </c>
    </row>
    <row r="18" ht="20.05" customHeight="1">
      <c r="B18" s="13"/>
      <c r="C18" s="14">
        <f>#REF!-#REF!</f>
      </c>
      <c r="D18" s="14">
        <f>#REF!-#REF!</f>
      </c>
      <c r="E18" s="14"/>
      <c r="F18" s="14">
        <f>('Balance sheet - Assets'!D16-'Balance sheet - Assets'!D17)+('Balance sheet - Liabilities'!F17-'Balance sheet - Liabilities'!F16)</f>
        <v>-114.8</v>
      </c>
      <c r="G18" s="14">
        <v>-24.1</v>
      </c>
      <c r="H18" s="14">
        <v>-96.59999999999999</v>
      </c>
      <c r="I18" s="14">
        <v>-65.2</v>
      </c>
      <c r="J18" s="14">
        <f>G18+H18-F18</f>
        <v>-5.9</v>
      </c>
      <c r="K18" s="14"/>
      <c r="L18" s="15">
        <f>-I18+L17</f>
        <v>-145.8</v>
      </c>
    </row>
    <row r="19" ht="20.05" customHeight="1">
      <c r="B19" s="13"/>
      <c r="C19" s="14">
        <f>#REF!-#REF!</f>
      </c>
      <c r="D19" s="14">
        <f>#REF!-#REF!</f>
      </c>
      <c r="E19" s="14"/>
      <c r="F19" s="14">
        <f>('Balance sheet - Assets'!D17-'Balance sheet - Assets'!D18)+('Balance sheet - Liabilities'!F18-'Balance sheet - Liabilities'!F17)</f>
        <v>60.4</v>
      </c>
      <c r="G19" s="14">
        <v>35.2</v>
      </c>
      <c r="H19" s="14">
        <v>-38.3</v>
      </c>
      <c r="I19" s="14">
        <v>-216.7</v>
      </c>
      <c r="J19" s="14">
        <f>G19+H19-F19</f>
        <v>-63.5</v>
      </c>
      <c r="K19" s="14"/>
      <c r="L19" s="15">
        <f>-I19+L18</f>
        <v>70.90000000000001</v>
      </c>
    </row>
    <row r="20" ht="20.05" customHeight="1">
      <c r="B20" s="16">
        <v>2018</v>
      </c>
      <c r="C20" s="14">
        <f>#REF!</f>
      </c>
      <c r="D20" s="14">
        <f>#REF!</f>
      </c>
      <c r="E20" s="14"/>
      <c r="F20" s="14">
        <f>('Balance sheet - Assets'!D18-'Balance sheet - Assets'!D19)+('Balance sheet - Liabilities'!F19-'Balance sheet - Liabilities'!F18)</f>
        <v>-1808.1</v>
      </c>
      <c r="G20" s="14">
        <v>-1665.1</v>
      </c>
      <c r="H20" s="14">
        <v>-72.8</v>
      </c>
      <c r="I20" s="14">
        <v>1534.3</v>
      </c>
      <c r="J20" s="14">
        <f>G20+H20-F20</f>
        <v>70.2</v>
      </c>
      <c r="K20" s="14"/>
      <c r="L20" s="15">
        <f>-I20+L19</f>
        <v>-1463.4</v>
      </c>
    </row>
    <row r="21" ht="20.05" customHeight="1">
      <c r="B21" s="13"/>
      <c r="C21" s="14">
        <f>#REF!-#REF!</f>
      </c>
      <c r="D21" s="14">
        <f>#REF!-#REF!</f>
      </c>
      <c r="E21" s="14"/>
      <c r="F21" s="14">
        <f>('Balance sheet - Assets'!D19-'Balance sheet - Assets'!D20)+('Balance sheet - Liabilities'!F20-'Balance sheet - Liabilities'!F19)</f>
        <v>-584.7</v>
      </c>
      <c r="G21" s="14">
        <v>-107</v>
      </c>
      <c r="H21" s="14">
        <v>-151</v>
      </c>
      <c r="I21" s="14">
        <v>273.7</v>
      </c>
      <c r="J21" s="14">
        <f>G21+H21-F21</f>
        <v>326.7</v>
      </c>
      <c r="K21" s="14"/>
      <c r="L21" s="15">
        <f>-I21+L20</f>
        <v>-1737.1</v>
      </c>
    </row>
    <row r="22" ht="20.05" customHeight="1">
      <c r="B22" s="13"/>
      <c r="C22" s="14">
        <f>#REF!-#REF!</f>
      </c>
      <c r="D22" s="14">
        <f>#REF!-#REF!</f>
      </c>
      <c r="E22" s="14"/>
      <c r="F22" s="14">
        <f>('Balance sheet - Assets'!D20-'Balance sheet - Assets'!D21)+('Balance sheet - Liabilities'!F21-'Balance sheet - Liabilities'!F20)</f>
        <v>-1459.8</v>
      </c>
      <c r="G22" s="14">
        <v>-1314</v>
      </c>
      <c r="H22" s="14">
        <v>-76.3</v>
      </c>
      <c r="I22" s="14">
        <v>1173.8</v>
      </c>
      <c r="J22" s="14">
        <f>G22+H22-F22</f>
        <v>69.5</v>
      </c>
      <c r="K22" s="14"/>
      <c r="L22" s="15">
        <f>-I22+L21</f>
        <v>-2910.9</v>
      </c>
    </row>
    <row r="23" ht="20.05" customHeight="1">
      <c r="B23" s="13"/>
      <c r="C23" s="14">
        <f>#REF!-#REF!</f>
      </c>
      <c r="D23" s="14">
        <f>#REF!-#REF!</f>
      </c>
      <c r="E23" s="14"/>
      <c r="F23" s="14">
        <f>('Balance sheet - Assets'!D21-'Balance sheet - Assets'!D22)+('Balance sheet - Liabilities'!F22-'Balance sheet - Liabilities'!F21)</f>
        <v>546.8</v>
      </c>
      <c r="G23" s="14">
        <v>659.1</v>
      </c>
      <c r="H23" s="14">
        <v>-98.5</v>
      </c>
      <c r="I23" s="14">
        <v>-362.8</v>
      </c>
      <c r="J23" s="14">
        <f>G23+H23-F23</f>
        <v>13.8</v>
      </c>
      <c r="K23" s="14"/>
      <c r="L23" s="15">
        <f>-I23+L22</f>
        <v>-2548.1</v>
      </c>
    </row>
    <row r="24" ht="20.05" customHeight="1">
      <c r="B24" s="16">
        <v>2019</v>
      </c>
      <c r="C24" s="14">
        <f>#REF!</f>
      </c>
      <c r="D24" s="14">
        <f>#REF!</f>
      </c>
      <c r="E24" s="14">
        <v>7214</v>
      </c>
      <c r="F24" s="14">
        <f>('Balance sheet - Assets'!D22-'Balance sheet - Assets'!D23)+('Balance sheet - Liabilities'!F23-'Balance sheet - Liabilities'!F22)</f>
        <v>-101.1</v>
      </c>
      <c r="G24" s="14">
        <v>296.6</v>
      </c>
      <c r="H24" s="14">
        <v>-118.7</v>
      </c>
      <c r="I24" s="14">
        <v>-264.9</v>
      </c>
      <c r="J24" s="14">
        <f>G24+H24-F24</f>
        <v>279</v>
      </c>
      <c r="K24" s="14"/>
      <c r="L24" s="15">
        <f>-I24+L23</f>
        <v>-2283.2</v>
      </c>
    </row>
    <row r="25" ht="20.05" customHeight="1">
      <c r="B25" s="13"/>
      <c r="C25" s="14">
        <f>#REF!-#REF!</f>
      </c>
      <c r="D25" s="14">
        <f>#REF!-#REF!</f>
      </c>
      <c r="E25" s="14">
        <v>8435</v>
      </c>
      <c r="F25" s="14">
        <f>('Balance sheet - Assets'!D23-'Balance sheet - Assets'!D24)+('Balance sheet - Liabilities'!F24-'Balance sheet - Liabilities'!F23)</f>
        <v>1191.1</v>
      </c>
      <c r="G25" s="14">
        <v>1483.4</v>
      </c>
      <c r="H25" s="14">
        <v>-168.3</v>
      </c>
      <c r="I25" s="14">
        <v>-1167.1</v>
      </c>
      <c r="J25" s="14">
        <f>G25+H25-F25</f>
        <v>124</v>
      </c>
      <c r="K25" s="14"/>
      <c r="L25" s="15">
        <f>-I25+L24</f>
        <v>-1116.1</v>
      </c>
    </row>
    <row r="26" ht="20.05" customHeight="1">
      <c r="B26" s="13"/>
      <c r="C26" s="14">
        <f>#REF!-#REF!</f>
      </c>
      <c r="D26" s="14">
        <f>#REF!-#REF!</f>
      </c>
      <c r="E26" s="14">
        <v>8275</v>
      </c>
      <c r="F26" s="14">
        <f>('Balance sheet - Assets'!D24-'Balance sheet - Assets'!D25)+('Balance sheet - Liabilities'!F25-'Balance sheet - Liabilities'!F24)</f>
        <v>742</v>
      </c>
      <c r="G26" s="14">
        <v>692</v>
      </c>
      <c r="H26" s="14">
        <v>-138</v>
      </c>
      <c r="I26" s="14">
        <v>-221</v>
      </c>
      <c r="J26" s="14">
        <f>G26+H26-F26</f>
        <v>-188</v>
      </c>
      <c r="K26" s="14"/>
      <c r="L26" s="15">
        <f>-I26+L25</f>
        <v>-895.1</v>
      </c>
    </row>
    <row r="27" ht="20.05" customHeight="1">
      <c r="B27" s="13"/>
      <c r="C27" s="14">
        <f>#REF!-#REF!</f>
      </c>
      <c r="D27" s="14">
        <f>#REF!-#REF!</f>
      </c>
      <c r="E27" s="14">
        <v>9475</v>
      </c>
      <c r="F27" s="14">
        <f>('Balance sheet - Assets'!D25-'Balance sheet - Assets'!D26)+('Balance sheet - Liabilities'!F26-'Balance sheet - Liabilities'!F25)</f>
        <v>31.924</v>
      </c>
      <c r="G27" s="14">
        <v>-41.21</v>
      </c>
      <c r="H27" s="14">
        <v>47.993</v>
      </c>
      <c r="I27" s="14">
        <v>-208.393</v>
      </c>
      <c r="J27" s="14">
        <f>G27+H27-F27</f>
        <v>-25.141</v>
      </c>
      <c r="K27" s="14"/>
      <c r="L27" s="15">
        <f>-I27+L26</f>
        <v>-686.707</v>
      </c>
    </row>
    <row r="28" ht="20.05" customHeight="1">
      <c r="B28" s="16">
        <v>2020</v>
      </c>
      <c r="C28" s="14">
        <f>#REF!</f>
      </c>
      <c r="D28" s="14">
        <f>#REF!</f>
      </c>
      <c r="E28" s="14">
        <v>8035</v>
      </c>
      <c r="F28" s="14">
        <f>('Balance sheet - Assets'!D26-'Balance sheet - Assets'!D27)+('Balance sheet - Liabilities'!F27-'Balance sheet - Liabilities'!F26)</f>
        <v>539.076</v>
      </c>
      <c r="G28" s="14">
        <v>350</v>
      </c>
      <c r="H28" s="14">
        <v>-243</v>
      </c>
      <c r="I28" s="14">
        <v>-208</v>
      </c>
      <c r="J28" s="14">
        <f>G28+H28-F28</f>
        <v>-432.076</v>
      </c>
      <c r="K28" s="14"/>
      <c r="L28" s="15">
        <f>-I28+L27</f>
        <v>-478.707</v>
      </c>
    </row>
    <row r="29" ht="20.05" customHeight="1">
      <c r="B29" s="13"/>
      <c r="C29" s="14"/>
      <c r="D29" s="14"/>
      <c r="E29" s="14">
        <v>6689</v>
      </c>
      <c r="F29" s="14">
        <f>('Balance sheet - Assets'!D27-'Balance sheet - Assets'!D28)+('Balance sheet - Liabilities'!F28-'Balance sheet - Liabilities'!F27)</f>
        <v>1320.687</v>
      </c>
      <c r="G29" s="14">
        <v>1984.84</v>
      </c>
      <c r="H29" s="14">
        <v>-79.3</v>
      </c>
      <c r="I29" s="14">
        <v>-715.13</v>
      </c>
      <c r="J29" s="14">
        <f>G29+H29-F29</f>
        <v>584.853</v>
      </c>
      <c r="K29" s="14"/>
      <c r="L29" s="15">
        <f>-I29+L28</f>
        <v>236.423</v>
      </c>
    </row>
    <row r="30" ht="20.05" customHeight="1">
      <c r="B30" s="13"/>
      <c r="C30" s="14"/>
      <c r="D30" s="14"/>
      <c r="E30" s="14">
        <v>8723</v>
      </c>
      <c r="F30" s="14">
        <f>('Balance sheet - Assets'!D28-'Balance sheet - Assets'!D29)+('Balance sheet - Liabilities'!F29-'Balance sheet - Liabilities'!F28)</f>
        <v>-1447.687</v>
      </c>
      <c r="G30" s="14">
        <v>-1110.84</v>
      </c>
      <c r="H30" s="14">
        <v>-146.7</v>
      </c>
      <c r="I30" s="14">
        <v>525.13</v>
      </c>
      <c r="J30" s="14">
        <f>G30+H30-F30</f>
        <v>190.147</v>
      </c>
      <c r="K30" s="14">
        <v>53.974455074410</v>
      </c>
      <c r="L30" s="15">
        <f>-I30+L29</f>
        <v>-288.707</v>
      </c>
    </row>
    <row r="31" ht="20.05" customHeight="1">
      <c r="B31" s="13"/>
      <c r="C31" s="14"/>
      <c r="D31" s="14"/>
      <c r="E31" s="14"/>
      <c r="F31" s="17"/>
      <c r="G31" s="17"/>
      <c r="H31" s="17"/>
      <c r="I31" s="14">
        <f>SUM('Model - Financial model'!C11:F11)</f>
        <v>-268.217734144368</v>
      </c>
      <c r="J31" s="17"/>
      <c r="K31" s="14">
        <f>SUM('Model - Financial model'!C9:F10)/4</f>
        <v>67.05443353609201</v>
      </c>
      <c r="L31" s="15">
        <f>-I31+L30</f>
        <v>-20.489265855632</v>
      </c>
    </row>
  </sheetData>
  <mergeCells count="1">
    <mergeCell ref="B2:L2"/>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H30"/>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7.29688" style="18" customWidth="1"/>
    <col min="2" max="8" width="9.09375" style="18" customWidth="1"/>
    <col min="9" max="16384" width="16.3516" style="18" customWidth="1"/>
  </cols>
  <sheetData>
    <row r="1" ht="27.65" customHeight="1">
      <c r="A1" t="s" s="7">
        <v>18</v>
      </c>
      <c r="B1" s="7"/>
      <c r="C1" s="7"/>
      <c r="D1" s="7"/>
      <c r="E1" s="7"/>
      <c r="F1" s="7"/>
      <c r="G1" s="7"/>
      <c r="H1" s="7"/>
    </row>
    <row r="2" ht="32.25" customHeight="1">
      <c r="A2" t="s" s="8">
        <v>20</v>
      </c>
      <c r="B2" t="s" s="8">
        <v>21</v>
      </c>
      <c r="C2" t="s" s="8">
        <v>22</v>
      </c>
      <c r="D2" t="s" s="8">
        <v>23</v>
      </c>
      <c r="E2" t="s" s="8">
        <v>24</v>
      </c>
      <c r="F2" t="s" s="8">
        <v>25</v>
      </c>
      <c r="G2" t="s" s="8">
        <v>26</v>
      </c>
      <c r="H2" t="s" s="8">
        <v>15</v>
      </c>
    </row>
    <row r="3" ht="20.25" customHeight="1">
      <c r="A3" s="19">
        <v>2014</v>
      </c>
      <c r="B3" s="20">
        <v>86.7</v>
      </c>
      <c r="C3" s="21">
        <v>3725.1</v>
      </c>
      <c r="D3" s="21">
        <f>C3-B3</f>
        <v>3638.4</v>
      </c>
      <c r="E3" s="21">
        <v>1301.2</v>
      </c>
      <c r="F3" s="21"/>
      <c r="G3" s="11">
        <f>B3-'Balance sheet - Liabilities'!B3-'Balance sheet - Liabilities'!C3</f>
        <v>-1564.3</v>
      </c>
      <c r="H3" s="11"/>
    </row>
    <row r="4" ht="20.05" customHeight="1">
      <c r="A4" s="22"/>
      <c r="B4" s="23">
        <v>115.1</v>
      </c>
      <c r="C4" s="24">
        <v>4348.2</v>
      </c>
      <c r="D4" s="24">
        <f>C4-B4</f>
        <v>4233.1</v>
      </c>
      <c r="E4" s="24">
        <v>1472</v>
      </c>
      <c r="F4" s="24"/>
      <c r="G4" s="14">
        <f>B4-'Balance sheet - Liabilities'!B4-'Balance sheet - Liabilities'!C4</f>
        <v>-1688.9</v>
      </c>
      <c r="H4" s="14"/>
    </row>
    <row r="5" ht="20.05" customHeight="1">
      <c r="A5" s="22"/>
      <c r="B5" s="23">
        <v>72.90000000000001</v>
      </c>
      <c r="C5" s="24">
        <v>3959.2</v>
      </c>
      <c r="D5" s="24">
        <f>C5-B5</f>
        <v>3886.3</v>
      </c>
      <c r="E5" s="24">
        <v>1616.2</v>
      </c>
      <c r="F5" s="24"/>
      <c r="G5" s="14">
        <f>B5-'Balance sheet - Liabilities'!B5-'Balance sheet - Liabilities'!C5</f>
        <v>-1463.1</v>
      </c>
      <c r="H5" s="14"/>
    </row>
    <row r="6" ht="20.05" customHeight="1">
      <c r="A6" s="22"/>
      <c r="B6" s="23">
        <v>169.9</v>
      </c>
      <c r="C6" s="24">
        <v>4318.6</v>
      </c>
      <c r="D6" s="24">
        <f>C6-B6</f>
        <v>4148.7</v>
      </c>
      <c r="E6" s="24">
        <v>1801.7</v>
      </c>
      <c r="F6" s="24"/>
      <c r="G6" s="14">
        <f>B6-'Balance sheet - Liabilities'!B6-'Balance sheet - Liabilities'!C6</f>
        <v>-1273.1</v>
      </c>
      <c r="H6" s="14"/>
    </row>
    <row r="7" ht="20.05" customHeight="1">
      <c r="A7" s="25">
        <v>2015</v>
      </c>
      <c r="B7" s="23">
        <v>174.9</v>
      </c>
      <c r="C7" s="24">
        <v>4317.6</v>
      </c>
      <c r="D7" s="24">
        <f>C7-B7</f>
        <v>4142.7</v>
      </c>
      <c r="E7" s="24">
        <v>1939.9</v>
      </c>
      <c r="F7" s="24"/>
      <c r="G7" s="14">
        <f>B7-'Balance sheet - Liabilities'!B7-'Balance sheet - Liabilities'!C7</f>
        <v>-1405.1</v>
      </c>
      <c r="H7" s="14"/>
    </row>
    <row r="8" ht="20.05" customHeight="1">
      <c r="A8" s="22"/>
      <c r="B8" s="23">
        <v>84.2</v>
      </c>
      <c r="C8" s="24">
        <v>4565.3</v>
      </c>
      <c r="D8" s="24">
        <f>C8-B8</f>
        <v>4481.1</v>
      </c>
      <c r="E8" s="24">
        <v>1999.2</v>
      </c>
      <c r="F8" s="24"/>
      <c r="G8" s="14">
        <f>B8-'Balance sheet - Liabilities'!B8-'Balance sheet - Liabilities'!C8</f>
        <v>-1118.8</v>
      </c>
      <c r="H8" s="14"/>
    </row>
    <row r="9" ht="20.05" customHeight="1">
      <c r="A9" s="22"/>
      <c r="B9" s="23">
        <v>90.8</v>
      </c>
      <c r="C9" s="24">
        <v>4294.6</v>
      </c>
      <c r="D9" s="24">
        <f>C9-B9</f>
        <v>4203.8</v>
      </c>
      <c r="E9" s="24">
        <v>2118.7</v>
      </c>
      <c r="F9" s="24"/>
      <c r="G9" s="14">
        <f>B9-'Balance sheet - Liabilities'!B9-'Balance sheet - Liabilities'!C9</f>
        <v>-860.2</v>
      </c>
      <c r="H9" s="14"/>
    </row>
    <row r="10" ht="20.05" customHeight="1">
      <c r="A10" s="22"/>
      <c r="B10" s="23">
        <v>126.8</v>
      </c>
      <c r="C10" s="24">
        <v>5465.6</v>
      </c>
      <c r="D10" s="24">
        <f>C10-B10</f>
        <v>5338.8</v>
      </c>
      <c r="E10" s="24">
        <v>2334.7</v>
      </c>
      <c r="F10" s="24"/>
      <c r="G10" s="14">
        <f>B10-'Balance sheet - Liabilities'!B10-'Balance sheet - Liabilities'!C10</f>
        <v>-1332.2</v>
      </c>
      <c r="H10" s="14"/>
    </row>
    <row r="11" ht="20.05" customHeight="1">
      <c r="A11" s="25">
        <v>2016</v>
      </c>
      <c r="B11" s="23">
        <v>86</v>
      </c>
      <c r="C11" s="24">
        <v>5227.1</v>
      </c>
      <c r="D11" s="24">
        <f>C11-B11</f>
        <v>5141.1</v>
      </c>
      <c r="E11" s="24">
        <v>2400.3</v>
      </c>
      <c r="F11" s="24"/>
      <c r="G11" s="14">
        <f>B11-'Balance sheet - Liabilities'!B11-'Balance sheet - Liabilities'!C11</f>
        <v>-1856</v>
      </c>
      <c r="H11" s="14"/>
    </row>
    <row r="12" ht="20.05" customHeight="1">
      <c r="A12" s="22"/>
      <c r="B12" s="23">
        <v>151.3</v>
      </c>
      <c r="C12" s="24">
        <v>5440.2</v>
      </c>
      <c r="D12" s="24">
        <f>C12-B12</f>
        <v>5288.9</v>
      </c>
      <c r="E12" s="24">
        <v>2150.6</v>
      </c>
      <c r="F12" s="24"/>
      <c r="G12" s="14">
        <f>B12-'Balance sheet - Liabilities'!B12-'Balance sheet - Liabilities'!C12</f>
        <v>-1472.7</v>
      </c>
      <c r="H12" s="14"/>
    </row>
    <row r="13" ht="20.05" customHeight="1">
      <c r="A13" s="22"/>
      <c r="B13" s="23">
        <v>108.2</v>
      </c>
      <c r="C13" s="24">
        <v>4497.6</v>
      </c>
      <c r="D13" s="24">
        <f>C13-B13</f>
        <v>4389.4</v>
      </c>
      <c r="E13" s="24">
        <v>2225.1</v>
      </c>
      <c r="F13" s="24"/>
      <c r="G13" s="14">
        <f>B13-'Balance sheet - Liabilities'!B13-'Balance sheet - Liabilities'!C13</f>
        <v>-1098.8</v>
      </c>
      <c r="H13" s="14"/>
    </row>
    <row r="14" ht="20.05" customHeight="1">
      <c r="A14" s="22"/>
      <c r="B14" s="23">
        <v>614.5</v>
      </c>
      <c r="C14" s="24">
        <v>5168.2</v>
      </c>
      <c r="D14" s="24">
        <f>C14-B14</f>
        <v>4553.7</v>
      </c>
      <c r="E14" s="24">
        <v>2256.4</v>
      </c>
      <c r="F14" s="24"/>
      <c r="G14" s="14">
        <f>B14-'Balance sheet - Liabilities'!B14-'Balance sheet - Liabilities'!C14</f>
        <v>-288.5</v>
      </c>
      <c r="H14" s="14"/>
    </row>
    <row r="15" ht="20.05" customHeight="1">
      <c r="A15" s="25">
        <v>2017</v>
      </c>
      <c r="B15" s="23">
        <v>92.5</v>
      </c>
      <c r="C15" s="24">
        <v>5182.7</v>
      </c>
      <c r="D15" s="24">
        <f>C15-B15</f>
        <v>5090.2</v>
      </c>
      <c r="E15" s="24">
        <v>2371.6</v>
      </c>
      <c r="F15" s="24"/>
      <c r="G15" s="14">
        <f>B15-'Balance sheet - Liabilities'!B15-'Balance sheet - Liabilities'!C15</f>
        <v>-1324.5</v>
      </c>
      <c r="H15" s="14"/>
    </row>
    <row r="16" ht="20.05" customHeight="1">
      <c r="A16" s="22"/>
      <c r="B16" s="23">
        <v>312.9</v>
      </c>
      <c r="C16" s="24">
        <v>5529.7</v>
      </c>
      <c r="D16" s="24">
        <f>C16-B16</f>
        <v>5216.8</v>
      </c>
      <c r="E16" s="24">
        <v>1883.8</v>
      </c>
      <c r="F16" s="24"/>
      <c r="G16" s="14">
        <f>B16-'Balance sheet - Liabilities'!B16-'Balance sheet - Liabilities'!C16</f>
        <v>-1203.1</v>
      </c>
      <c r="H16" s="14"/>
    </row>
    <row r="17" ht="20.05" customHeight="1">
      <c r="A17" s="22"/>
      <c r="B17" s="23">
        <v>144.8</v>
      </c>
      <c r="C17" s="24">
        <v>5269.4</v>
      </c>
      <c r="D17" s="24">
        <f>C17-B17</f>
        <v>5124.6</v>
      </c>
      <c r="E17" s="24">
        <v>1978.8</v>
      </c>
      <c r="F17" s="24"/>
      <c r="G17" s="14">
        <f>B17-'Balance sheet - Liabilities'!B17-'Balance sheet - Liabilities'!C17</f>
        <v>-1380.2</v>
      </c>
      <c r="H17" s="14"/>
    </row>
    <row r="18" ht="20.05" customHeight="1">
      <c r="A18" s="22"/>
      <c r="B18" s="23">
        <v>366.4</v>
      </c>
      <c r="C18" s="24">
        <v>6684.6</v>
      </c>
      <c r="D18" s="24">
        <f>C18-B18</f>
        <v>6318.2</v>
      </c>
      <c r="E18" s="24">
        <v>2189.3</v>
      </c>
      <c r="F18" s="17"/>
      <c r="G18" s="14">
        <f>B18-'Balance sheet - Liabilities'!B18-'Balance sheet - Liabilities'!C18</f>
        <v>-1383.6</v>
      </c>
      <c r="H18" s="14"/>
    </row>
    <row r="19" ht="20.05" customHeight="1">
      <c r="A19" s="25">
        <v>2018</v>
      </c>
      <c r="B19" s="23">
        <v>299.5</v>
      </c>
      <c r="C19" s="24">
        <v>8387.799999999999</v>
      </c>
      <c r="D19" s="24">
        <f>C19-B19</f>
        <v>8088.3</v>
      </c>
      <c r="E19" s="24">
        <v>2344</v>
      </c>
      <c r="F19" s="17"/>
      <c r="G19" s="14">
        <f>B19-'Balance sheet - Liabilities'!B19-'Balance sheet - Liabilities'!C19</f>
        <v>-3122.5</v>
      </c>
      <c r="H19" s="14"/>
    </row>
    <row r="20" ht="20.05" customHeight="1">
      <c r="A20" s="22"/>
      <c r="B20" s="23">
        <v>288.2</v>
      </c>
      <c r="C20" s="24">
        <v>9678.200000000001</v>
      </c>
      <c r="D20" s="24">
        <f>C20-B20</f>
        <v>9390</v>
      </c>
      <c r="E20" s="24">
        <v>2249.8</v>
      </c>
      <c r="F20" s="17"/>
      <c r="G20" s="14">
        <f>B20-'Balance sheet - Liabilities'!B20-'Balance sheet - Liabilities'!C20</f>
        <v>-3184.8</v>
      </c>
      <c r="H20" s="14"/>
    </row>
    <row r="21" ht="20.05" customHeight="1">
      <c r="A21" s="22"/>
      <c r="B21" s="23">
        <v>321.1</v>
      </c>
      <c r="C21" s="24">
        <v>9939.9</v>
      </c>
      <c r="D21" s="24">
        <f>C21-B21</f>
        <v>9618.799999999999</v>
      </c>
      <c r="E21" s="24">
        <v>2385.1</v>
      </c>
      <c r="F21" s="17"/>
      <c r="G21" s="14">
        <f>B21-'Balance sheet - Liabilities'!B21-'Balance sheet - Liabilities'!C21</f>
        <v>-4574.9</v>
      </c>
      <c r="H21" s="14"/>
    </row>
    <row r="22" ht="20.05" customHeight="1">
      <c r="A22" s="22"/>
      <c r="B22" s="23">
        <v>272</v>
      </c>
      <c r="C22" s="24">
        <v>10054</v>
      </c>
      <c r="D22" s="24">
        <f>C22-B22</f>
        <v>9782</v>
      </c>
      <c r="E22" s="24">
        <v>2629</v>
      </c>
      <c r="F22" s="17"/>
      <c r="G22" s="14">
        <f>B22-'Balance sheet - Liabilities'!B22-'Balance sheet - Liabilities'!C22</f>
        <v>-4012</v>
      </c>
      <c r="H22" s="14"/>
    </row>
    <row r="23" ht="20.05" customHeight="1">
      <c r="A23" s="25">
        <v>2019</v>
      </c>
      <c r="B23" s="23">
        <v>331.3</v>
      </c>
      <c r="C23" s="24">
        <v>9910.6</v>
      </c>
      <c r="D23" s="24">
        <f>C23-B23</f>
        <v>9579.299999999999</v>
      </c>
      <c r="E23" s="24">
        <v>2378.2</v>
      </c>
      <c r="F23" s="17"/>
      <c r="G23" s="14">
        <f>B23-'Balance sheet - Liabilities'!B23-'Balance sheet - Liabilities'!C23</f>
        <v>-3791.7</v>
      </c>
      <c r="H23" s="17"/>
    </row>
    <row r="24" ht="20.05" customHeight="1">
      <c r="A24" s="22"/>
      <c r="B24" s="23">
        <v>386</v>
      </c>
      <c r="C24" s="24">
        <v>8766</v>
      </c>
      <c r="D24" s="24">
        <f>C24-B24</f>
        <v>8380</v>
      </c>
      <c r="E24" s="24">
        <v>2374</v>
      </c>
      <c r="F24" s="17"/>
      <c r="G24" s="14">
        <f>B24-'Balance sheet - Liabilities'!B24-'Balance sheet - Liabilities'!C24</f>
        <v>-2676</v>
      </c>
      <c r="H24" s="17"/>
    </row>
    <row r="25" ht="20.05" customHeight="1">
      <c r="A25" s="22"/>
      <c r="B25" s="23">
        <v>550</v>
      </c>
      <c r="C25" s="24">
        <v>7212</v>
      </c>
      <c r="D25" s="24">
        <f>C25-B25</f>
        <v>6662</v>
      </c>
      <c r="E25" s="24">
        <v>2616</v>
      </c>
      <c r="F25" s="15">
        <v>412</v>
      </c>
      <c r="G25" s="14">
        <f>B25-'Balance sheet - Liabilities'!B25-'Balance sheet - Liabilities'!C25</f>
        <v>-2108</v>
      </c>
      <c r="H25" s="17"/>
    </row>
    <row r="26" ht="20.05" customHeight="1">
      <c r="A26" s="22"/>
      <c r="B26" s="23">
        <v>571.288</v>
      </c>
      <c r="C26" s="24">
        <v>6944.525</v>
      </c>
      <c r="D26" s="24">
        <f>C26-B26</f>
        <v>6373.237</v>
      </c>
      <c r="E26" s="24">
        <v>2803.177</v>
      </c>
      <c r="F26" s="15">
        <v>457</v>
      </c>
      <c r="G26" s="14">
        <f>B26-'Balance sheet - Liabilities'!B26-'Balance sheet - Liabilities'!C26</f>
        <v>-2132.082</v>
      </c>
      <c r="H26" s="17"/>
    </row>
    <row r="27" ht="20.05" customHeight="1">
      <c r="A27" s="25">
        <v>2020</v>
      </c>
      <c r="B27" s="23">
        <v>217</v>
      </c>
      <c r="C27" s="24">
        <v>6354</v>
      </c>
      <c r="D27" s="24">
        <f>C27-B27</f>
        <v>6137</v>
      </c>
      <c r="E27" s="24">
        <v>3590</v>
      </c>
      <c r="F27" s="15">
        <v>494</v>
      </c>
      <c r="G27" s="14">
        <f>B27-'Balance sheet - Liabilities'!B27-'Balance sheet - Liabilities'!C27</f>
        <v>-1994</v>
      </c>
      <c r="H27" s="17"/>
    </row>
    <row r="28" ht="20.05" customHeight="1">
      <c r="A28" s="22"/>
      <c r="B28" s="23">
        <v>721</v>
      </c>
      <c r="C28" s="24">
        <v>5889</v>
      </c>
      <c r="D28" s="24">
        <f>C28-B28</f>
        <v>5168</v>
      </c>
      <c r="E28" s="24">
        <v>3175</v>
      </c>
      <c r="F28" s="24">
        <v>515</v>
      </c>
      <c r="G28" s="14">
        <f>B28-'Balance sheet - Liabilities'!B28-'Balance sheet - Liabilities'!C28</f>
        <v>-445.819</v>
      </c>
      <c r="H28" s="17"/>
    </row>
    <row r="29" ht="20.05" customHeight="1">
      <c r="A29" s="22"/>
      <c r="B29" s="26">
        <v>251</v>
      </c>
      <c r="C29" s="15">
        <v>6410</v>
      </c>
      <c r="D29" s="24">
        <f>C29-B29</f>
        <v>6159</v>
      </c>
      <c r="E29" s="15">
        <v>3379</v>
      </c>
      <c r="F29" s="15">
        <v>549</v>
      </c>
      <c r="G29" s="14">
        <f>B29-'Balance sheet - Liabilities'!B29-'Balance sheet - Liabilities'!C29</f>
        <v>-1863</v>
      </c>
      <c r="H29" s="14">
        <v>-391.844544925590</v>
      </c>
    </row>
    <row r="30" ht="20.05" customHeight="1">
      <c r="A30" s="22"/>
      <c r="B30" s="27"/>
      <c r="C30" s="17"/>
      <c r="D30" s="17"/>
      <c r="E30" s="17"/>
      <c r="F30" s="17"/>
      <c r="G30" s="17"/>
      <c r="H30" s="14">
        <f>'Model - Financial model'!F25-'Model - Financial model'!F32</f>
        <v>-1670.4373726034</v>
      </c>
    </row>
  </sheetData>
  <mergeCells count="1">
    <mergeCell ref="A1:H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I29"/>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7.29688" style="28" customWidth="1"/>
    <col min="2" max="9" width="9.09375" style="28" customWidth="1"/>
    <col min="10" max="16384" width="16.3516" style="28" customWidth="1"/>
  </cols>
  <sheetData>
    <row r="1" ht="27.65" customHeight="1">
      <c r="A1" t="s" s="7">
        <v>27</v>
      </c>
      <c r="B1" s="7"/>
      <c r="C1" s="7"/>
      <c r="D1" s="7"/>
      <c r="E1" s="7"/>
      <c r="F1" s="7"/>
      <c r="G1" s="7"/>
      <c r="H1" s="7"/>
      <c r="I1" s="7"/>
    </row>
    <row r="2" ht="32.25" customHeight="1">
      <c r="A2" t="s" s="8">
        <v>20</v>
      </c>
      <c r="B2" t="s" s="8">
        <v>29</v>
      </c>
      <c r="C2" t="s" s="8">
        <v>30</v>
      </c>
      <c r="D2" t="s" s="8">
        <v>31</v>
      </c>
      <c r="E2" t="s" s="8">
        <v>32</v>
      </c>
      <c r="F2" t="s" s="8">
        <v>33</v>
      </c>
      <c r="G2" t="s" s="8">
        <v>34</v>
      </c>
      <c r="H2" t="s" s="8">
        <v>35</v>
      </c>
      <c r="I2" t="s" s="8">
        <v>36</v>
      </c>
    </row>
    <row r="3" ht="20.25" customHeight="1">
      <c r="A3" s="19">
        <v>2014</v>
      </c>
      <c r="B3" s="20">
        <f>1642+5+4</f>
        <v>1651</v>
      </c>
      <c r="C3" s="21"/>
      <c r="D3" s="21">
        <v>2145</v>
      </c>
      <c r="E3" s="21">
        <v>47</v>
      </c>
      <c r="F3" s="21">
        <f>D3-B3</f>
        <v>494</v>
      </c>
      <c r="G3" s="21">
        <f>E3-C3</f>
        <v>47</v>
      </c>
      <c r="H3" s="21">
        <v>2834</v>
      </c>
      <c r="I3" s="21">
        <f>B3+C3+G3+F3+H3-'Balance sheet - Assets'!B3-'Balance sheet - Assets'!D3-'Balance sheet - Assets'!E3</f>
        <v>-0.3</v>
      </c>
    </row>
    <row r="4" ht="20.05" customHeight="1">
      <c r="A4" s="22"/>
      <c r="B4" s="23">
        <f>1796+8</f>
        <v>1804</v>
      </c>
      <c r="C4" s="24"/>
      <c r="D4" s="24">
        <v>2898</v>
      </c>
      <c r="E4" s="24">
        <v>55</v>
      </c>
      <c r="F4" s="24">
        <f>D4-B4</f>
        <v>1094</v>
      </c>
      <c r="G4" s="24">
        <f>E4-C4</f>
        <v>55</v>
      </c>
      <c r="H4" s="24">
        <v>2867</v>
      </c>
      <c r="I4" s="24">
        <f>B4+C4+G4+F4+H4-'Balance sheet - Assets'!B4-'Balance sheet - Assets'!D4-'Balance sheet - Assets'!E4</f>
        <v>-0.2</v>
      </c>
    </row>
    <row r="5" ht="20.05" customHeight="1">
      <c r="A5" s="22"/>
      <c r="B5" s="23">
        <f>1418+118</f>
        <v>1536</v>
      </c>
      <c r="C5" s="24"/>
      <c r="D5" s="24">
        <v>2464</v>
      </c>
      <c r="E5" s="24">
        <v>176</v>
      </c>
      <c r="F5" s="24">
        <f>D5-B5</f>
        <v>928</v>
      </c>
      <c r="G5" s="24">
        <f>E5-C5</f>
        <v>176</v>
      </c>
      <c r="H5" s="24">
        <v>2936</v>
      </c>
      <c r="I5" s="24">
        <f>B5+C5+G5+F5+H5-'Balance sheet - Assets'!B5-'Balance sheet - Assets'!D5-'Balance sheet - Assets'!E5</f>
        <v>0.6</v>
      </c>
    </row>
    <row r="6" ht="20.05" customHeight="1">
      <c r="A6" s="22"/>
      <c r="B6" s="23">
        <f>1439+4</f>
        <v>1443</v>
      </c>
      <c r="C6" s="24"/>
      <c r="D6" s="24">
        <v>2914</v>
      </c>
      <c r="E6" s="24">
        <v>193</v>
      </c>
      <c r="F6" s="24">
        <f>D6-B6</f>
        <v>1471</v>
      </c>
      <c r="G6" s="24">
        <f>E6-C6</f>
        <v>193</v>
      </c>
      <c r="H6" s="24">
        <v>3014</v>
      </c>
      <c r="I6" s="24">
        <f>B6+C6+G6+F6+H6-'Balance sheet - Assets'!B6-'Balance sheet - Assets'!D6-'Balance sheet - Assets'!E6</f>
        <v>0.7</v>
      </c>
    </row>
    <row r="7" ht="20.05" customHeight="1">
      <c r="A7" s="25">
        <v>2015</v>
      </c>
      <c r="B7" s="23">
        <f>1575+5</f>
        <v>1580</v>
      </c>
      <c r="C7" s="24"/>
      <c r="D7" s="24">
        <v>2976</v>
      </c>
      <c r="E7" s="24">
        <v>194</v>
      </c>
      <c r="F7" s="24">
        <f>D7-B7</f>
        <v>1396</v>
      </c>
      <c r="G7" s="24">
        <f>E7-C7</f>
        <v>194</v>
      </c>
      <c r="H7" s="24">
        <v>3088</v>
      </c>
      <c r="I7" s="24">
        <f>B7+C7+G7+F7+H7-'Balance sheet - Assets'!B7-'Balance sheet - Assets'!D7-'Balance sheet - Assets'!E7</f>
        <v>0.5</v>
      </c>
    </row>
    <row r="8" ht="20.05" customHeight="1">
      <c r="A8" s="22"/>
      <c r="B8" s="23">
        <f>1199+4</f>
        <v>1203</v>
      </c>
      <c r="C8" s="24"/>
      <c r="D8" s="24">
        <v>3275</v>
      </c>
      <c r="E8" s="24">
        <v>216</v>
      </c>
      <c r="F8" s="24">
        <f>D8-B8</f>
        <v>2072</v>
      </c>
      <c r="G8" s="24">
        <f>E8-C8</f>
        <v>216</v>
      </c>
      <c r="H8" s="24">
        <v>3074</v>
      </c>
      <c r="I8" s="24">
        <f>B8+C8+G8+F8+H8-'Balance sheet - Assets'!B8-'Balance sheet - Assets'!D8-'Balance sheet - Assets'!E8</f>
        <v>0.5</v>
      </c>
    </row>
    <row r="9" ht="20.05" customHeight="1">
      <c r="A9" s="22"/>
      <c r="B9" s="23">
        <f>948+3</f>
        <v>951</v>
      </c>
      <c r="C9" s="24"/>
      <c r="D9" s="24">
        <v>3058</v>
      </c>
      <c r="E9" s="24">
        <v>233</v>
      </c>
      <c r="F9" s="24">
        <f>D9-B9</f>
        <v>2107</v>
      </c>
      <c r="G9" s="24">
        <f>E9-C9</f>
        <v>233</v>
      </c>
      <c r="H9" s="24">
        <v>3122</v>
      </c>
      <c r="I9" s="24">
        <f>B9+C9+G9+F9+H9-'Balance sheet - Assets'!B9-'Balance sheet - Assets'!D9-'Balance sheet - Assets'!E9</f>
        <v>-0.3</v>
      </c>
    </row>
    <row r="10" ht="20.05" customHeight="1">
      <c r="A10" s="22"/>
      <c r="B10" s="23">
        <f>1459</f>
        <v>1459</v>
      </c>
      <c r="C10" s="24"/>
      <c r="D10" s="24">
        <v>4399</v>
      </c>
      <c r="E10" s="24">
        <v>196</v>
      </c>
      <c r="F10" s="24">
        <f>D10-B10</f>
        <v>2940</v>
      </c>
      <c r="G10" s="24">
        <f>E10-C10</f>
        <v>196</v>
      </c>
      <c r="H10" s="24">
        <v>3205</v>
      </c>
      <c r="I10" s="24">
        <f>B10+C10+G10+F10+H10-'Balance sheet - Assets'!B10-'Balance sheet - Assets'!D10-'Balance sheet - Assets'!E10</f>
        <v>-0.3</v>
      </c>
    </row>
    <row r="11" ht="20.05" customHeight="1">
      <c r="A11" s="25">
        <v>2016</v>
      </c>
      <c r="B11" s="23">
        <f>1810+132</f>
        <v>1942</v>
      </c>
      <c r="C11" s="24"/>
      <c r="D11" s="24">
        <v>4158</v>
      </c>
      <c r="E11" s="24">
        <v>204</v>
      </c>
      <c r="F11" s="24">
        <f>D11-B11</f>
        <v>2216</v>
      </c>
      <c r="G11" s="24">
        <f>E11-C11</f>
        <v>204</v>
      </c>
      <c r="H11" s="24">
        <v>3265</v>
      </c>
      <c r="I11" s="24">
        <f>B11+C11+G11+F11+H11-'Balance sheet - Assets'!B11-'Balance sheet - Assets'!D11-'Balance sheet - Assets'!E11</f>
        <v>-0.4</v>
      </c>
    </row>
    <row r="12" ht="20.05" customHeight="1">
      <c r="A12" s="22"/>
      <c r="B12" s="23">
        <f>1487+137</f>
        <v>1624</v>
      </c>
      <c r="C12" s="24"/>
      <c r="D12" s="24">
        <v>4111</v>
      </c>
      <c r="E12" s="24">
        <v>208</v>
      </c>
      <c r="F12" s="24">
        <f>D12-B12</f>
        <v>2487</v>
      </c>
      <c r="G12" s="24">
        <f>E12-C12</f>
        <v>208</v>
      </c>
      <c r="H12" s="24">
        <v>3271</v>
      </c>
      <c r="I12" s="24">
        <f>B12+C12+G12+F12+H12-'Balance sheet - Assets'!B12-'Balance sheet - Assets'!D12-'Balance sheet - Assets'!E12</f>
        <v>-0.8</v>
      </c>
    </row>
    <row r="13" ht="20.05" customHeight="1">
      <c r="A13" s="22"/>
      <c r="B13" s="23">
        <f>1073+134</f>
        <v>1207</v>
      </c>
      <c r="C13" s="24"/>
      <c r="D13" s="24">
        <v>3174</v>
      </c>
      <c r="E13" s="24">
        <v>211</v>
      </c>
      <c r="F13" s="24">
        <f>D13-B13</f>
        <v>1967</v>
      </c>
      <c r="G13" s="24">
        <f>E13-C13</f>
        <v>211</v>
      </c>
      <c r="H13" s="24">
        <v>3337</v>
      </c>
      <c r="I13" s="24">
        <f>B13+C13+G13+F13+H13-'Balance sheet - Assets'!B13-'Balance sheet - Assets'!D13-'Balance sheet - Assets'!E13</f>
        <v>-0.7</v>
      </c>
    </row>
    <row r="14" ht="20.05" customHeight="1">
      <c r="A14" s="22"/>
      <c r="B14" s="23">
        <v>903</v>
      </c>
      <c r="C14" s="24"/>
      <c r="D14" s="24">
        <v>3935</v>
      </c>
      <c r="E14" s="24">
        <v>80</v>
      </c>
      <c r="F14" s="24">
        <f>D14-B14</f>
        <v>3032</v>
      </c>
      <c r="G14" s="24">
        <f>E14-C14</f>
        <v>80</v>
      </c>
      <c r="H14" s="24">
        <v>3409</v>
      </c>
      <c r="I14" s="24">
        <f>B14+C14+G14+F14+H14-'Balance sheet - Assets'!B14-'Balance sheet - Assets'!D14-'Balance sheet - Assets'!E14</f>
        <v>-0.6</v>
      </c>
    </row>
    <row r="15" ht="20.05" customHeight="1">
      <c r="A15" s="25">
        <v>2017</v>
      </c>
      <c r="B15" s="23">
        <v>1417</v>
      </c>
      <c r="C15" s="24"/>
      <c r="D15" s="24">
        <v>3991</v>
      </c>
      <c r="E15" s="24">
        <v>86</v>
      </c>
      <c r="F15" s="24">
        <f>D15-B15</f>
        <v>2574</v>
      </c>
      <c r="G15" s="24">
        <f>E15-C15</f>
        <v>86</v>
      </c>
      <c r="H15" s="24">
        <v>3478</v>
      </c>
      <c r="I15" s="24">
        <f>B15+C15+G15+F15+H15-'Balance sheet - Assets'!B15-'Balance sheet - Assets'!D15-'Balance sheet - Assets'!E15</f>
        <v>0.7</v>
      </c>
    </row>
    <row r="16" ht="20.05" customHeight="1">
      <c r="A16" s="22"/>
      <c r="B16" s="23">
        <v>1516</v>
      </c>
      <c r="C16" s="24"/>
      <c r="D16" s="24">
        <v>3768</v>
      </c>
      <c r="E16" s="24">
        <v>92</v>
      </c>
      <c r="F16" s="24">
        <f>D16-B16</f>
        <v>2252</v>
      </c>
      <c r="G16" s="24">
        <f>E16-C16</f>
        <v>92</v>
      </c>
      <c r="H16" s="24">
        <v>3554</v>
      </c>
      <c r="I16" s="24">
        <f>B16+C16+G16+F16+H16-'Balance sheet - Assets'!B16-'Balance sheet - Assets'!D16-'Balance sheet - Assets'!E16</f>
        <v>0.5</v>
      </c>
    </row>
    <row r="17" ht="20.05" customHeight="1">
      <c r="A17" s="22"/>
      <c r="B17" s="23">
        <v>1525</v>
      </c>
      <c r="C17" s="24"/>
      <c r="D17" s="24">
        <v>3570</v>
      </c>
      <c r="E17" s="24">
        <v>99</v>
      </c>
      <c r="F17" s="24">
        <f>D17-B17</f>
        <v>2045</v>
      </c>
      <c r="G17" s="24">
        <f>E17-C17</f>
        <v>99</v>
      </c>
      <c r="H17" s="24">
        <v>3579</v>
      </c>
      <c r="I17" s="24">
        <f>B17+C17+G17+F17+H17-'Balance sheet - Assets'!B17-'Balance sheet - Assets'!D17-'Balance sheet - Assets'!E17</f>
        <v>-0.2</v>
      </c>
    </row>
    <row r="18" ht="20.05" customHeight="1">
      <c r="A18" s="22"/>
      <c r="B18" s="23">
        <v>1750</v>
      </c>
      <c r="C18" s="24"/>
      <c r="D18" s="24">
        <v>5049</v>
      </c>
      <c r="E18" s="24">
        <v>119</v>
      </c>
      <c r="F18" s="24">
        <f>D18-B18</f>
        <v>3299</v>
      </c>
      <c r="G18" s="24">
        <f>E18-C18</f>
        <v>119</v>
      </c>
      <c r="H18" s="24">
        <v>3707</v>
      </c>
      <c r="I18" s="24">
        <f>B18+C18+G18+F18+H18-'Balance sheet - Assets'!B18-'Balance sheet - Assets'!D18-'Balance sheet - Assets'!E18</f>
        <v>1.1</v>
      </c>
    </row>
    <row r="19" ht="20.05" customHeight="1">
      <c r="A19" s="25">
        <v>2018</v>
      </c>
      <c r="B19" s="23">
        <v>3422</v>
      </c>
      <c r="C19" s="24"/>
      <c r="D19" s="24">
        <v>6683</v>
      </c>
      <c r="E19" s="24">
        <v>122</v>
      </c>
      <c r="F19" s="24">
        <f>D19-B19</f>
        <v>3261</v>
      </c>
      <c r="G19" s="24">
        <f>E19-C19</f>
        <v>122</v>
      </c>
      <c r="H19" s="24">
        <v>3926</v>
      </c>
      <c r="I19" s="24">
        <f>B19+C19+G19+F19+H19-'Balance sheet - Assets'!B19-'Balance sheet - Assets'!D19-'Balance sheet - Assets'!E19</f>
        <v>-0.8</v>
      </c>
    </row>
    <row r="20" ht="20.05" customHeight="1">
      <c r="A20" s="22"/>
      <c r="B20" s="23">
        <v>3473</v>
      </c>
      <c r="C20" s="24"/>
      <c r="D20" s="24">
        <v>7451</v>
      </c>
      <c r="E20" s="24">
        <v>136</v>
      </c>
      <c r="F20" s="24">
        <f>D20-B20</f>
        <v>3978</v>
      </c>
      <c r="G20" s="24">
        <f>E20-C20</f>
        <v>136</v>
      </c>
      <c r="H20" s="24">
        <v>4341</v>
      </c>
      <c r="I20" s="24">
        <f>B20+C20+G20+F20+H20-'Balance sheet - Assets'!B20-'Balance sheet - Assets'!D20-'Balance sheet - Assets'!E20</f>
        <v>0</v>
      </c>
    </row>
    <row r="21" ht="20.05" customHeight="1">
      <c r="A21" s="22"/>
      <c r="B21" s="23">
        <v>4896</v>
      </c>
      <c r="C21" s="24"/>
      <c r="D21" s="24">
        <v>7643</v>
      </c>
      <c r="E21" s="24">
        <v>141</v>
      </c>
      <c r="F21" s="24">
        <f>D21-B21</f>
        <v>2747</v>
      </c>
      <c r="G21" s="24">
        <f>E21-C21</f>
        <v>141</v>
      </c>
      <c r="H21" s="24">
        <v>4542</v>
      </c>
      <c r="I21" s="24">
        <f>B21+C21+G21+F21+H21-'Balance sheet - Assets'!B21-'Balance sheet - Assets'!D21-'Balance sheet - Assets'!E21</f>
        <v>1</v>
      </c>
    </row>
    <row r="22" ht="20.05" customHeight="1">
      <c r="A22" s="22"/>
      <c r="B22" s="23">
        <v>4284</v>
      </c>
      <c r="C22" s="24"/>
      <c r="D22" s="24">
        <v>7741</v>
      </c>
      <c r="E22" s="24">
        <v>117</v>
      </c>
      <c r="F22" s="24">
        <f>D22-B22</f>
        <v>3457</v>
      </c>
      <c r="G22" s="24">
        <f>E22-C22</f>
        <v>117</v>
      </c>
      <c r="H22" s="24">
        <v>4826</v>
      </c>
      <c r="I22" s="24">
        <f>B22+C22+G22+F22+H22-'Balance sheet - Assets'!B22-'Balance sheet - Assets'!D22-'Balance sheet - Assets'!E22</f>
        <v>1</v>
      </c>
    </row>
    <row r="23" ht="20.05" customHeight="1">
      <c r="A23" s="25">
        <v>2019</v>
      </c>
      <c r="B23" s="23">
        <v>4123</v>
      </c>
      <c r="C23" s="24"/>
      <c r="D23" s="24">
        <v>7276.2</v>
      </c>
      <c r="E23" s="24">
        <v>120.2</v>
      </c>
      <c r="F23" s="24">
        <f>D23-B23</f>
        <v>3153.2</v>
      </c>
      <c r="G23" s="24">
        <f>E23-C23</f>
        <v>120.2</v>
      </c>
      <c r="H23" s="24">
        <v>4892.4</v>
      </c>
      <c r="I23" s="24">
        <f>B23+C23+G23+F23+H23-'Balance sheet - Assets'!B23-'Balance sheet - Assets'!D23-'Balance sheet - Assets'!E23</f>
        <v>0</v>
      </c>
    </row>
    <row r="24" ht="20.05" customHeight="1">
      <c r="A24" s="22"/>
      <c r="B24" s="23">
        <v>3062</v>
      </c>
      <c r="C24" s="24"/>
      <c r="D24" s="24">
        <v>6207</v>
      </c>
      <c r="E24" s="24">
        <v>131</v>
      </c>
      <c r="F24" s="24">
        <f>D24-B24</f>
        <v>3145</v>
      </c>
      <c r="G24" s="24">
        <f>E24-C24</f>
        <v>131</v>
      </c>
      <c r="H24" s="24">
        <v>4802</v>
      </c>
      <c r="I24" s="24">
        <f>B24+C24+G24+F24+H24-'Balance sheet - Assets'!B24-'Balance sheet - Assets'!D24-'Balance sheet - Assets'!E24</f>
        <v>0</v>
      </c>
    </row>
    <row r="25" ht="20.05" customHeight="1">
      <c r="A25" s="22"/>
      <c r="B25" s="23">
        <v>2658</v>
      </c>
      <c r="C25" s="24"/>
      <c r="D25" s="24">
        <v>4827</v>
      </c>
      <c r="E25" s="24">
        <v>146</v>
      </c>
      <c r="F25" s="24">
        <f>D25-B25</f>
        <v>2169</v>
      </c>
      <c r="G25" s="24">
        <f>E25-C25</f>
        <v>146</v>
      </c>
      <c r="H25" s="24">
        <v>4854</v>
      </c>
      <c r="I25" s="24">
        <f>B25+C25+G25+F25+H25-'Balance sheet - Assets'!B25-'Balance sheet - Assets'!D25-'Balance sheet - Assets'!E25</f>
        <v>-1</v>
      </c>
    </row>
    <row r="26" ht="20.05" customHeight="1">
      <c r="A26" s="22"/>
      <c r="B26" s="23">
        <v>2703.37</v>
      </c>
      <c r="C26" s="24"/>
      <c r="D26" s="24">
        <v>4615.531</v>
      </c>
      <c r="E26" s="24">
        <v>153.455</v>
      </c>
      <c r="F26" s="24">
        <f>D26-B26</f>
        <v>1912.161</v>
      </c>
      <c r="G26" s="24">
        <f>E26-C26</f>
        <v>153.455</v>
      </c>
      <c r="H26" s="24">
        <v>4978.7</v>
      </c>
      <c r="I26" s="24">
        <f>B26+C26+G26+F26+H26-'Balance sheet - Assets'!B26-'Balance sheet - Assets'!D26-'Balance sheet - Assets'!E26</f>
        <v>-0.016</v>
      </c>
    </row>
    <row r="27" ht="20.05" customHeight="1">
      <c r="A27" s="25">
        <v>2020</v>
      </c>
      <c r="B27" s="23">
        <f>2211</f>
        <v>2211</v>
      </c>
      <c r="C27" s="24"/>
      <c r="D27" s="24">
        <v>4426</v>
      </c>
      <c r="E27" s="24">
        <v>334</v>
      </c>
      <c r="F27" s="24">
        <f>D27-B27</f>
        <v>2215</v>
      </c>
      <c r="G27" s="24">
        <f>E27-C27</f>
        <v>334</v>
      </c>
      <c r="H27" s="24">
        <v>5184</v>
      </c>
      <c r="I27" s="24">
        <f>B27+C27+G27+F27+H27-'Balance sheet - Assets'!B27-'Balance sheet - Assets'!D27-'Balance sheet - Assets'!E27</f>
        <v>0</v>
      </c>
    </row>
    <row r="28" ht="20.05" customHeight="1">
      <c r="A28" s="22"/>
      <c r="B28" s="23">
        <f>787+0.259+0.454+174.6</f>
        <v>962.313</v>
      </c>
      <c r="C28" s="24">
        <f>0.206+204.3</f>
        <v>204.506</v>
      </c>
      <c r="D28" s="24">
        <v>3529</v>
      </c>
      <c r="E28" s="24">
        <v>379</v>
      </c>
      <c r="F28" s="24">
        <f>D28-B28</f>
        <v>2566.687</v>
      </c>
      <c r="G28" s="24">
        <f>E28-C28</f>
        <v>174.494</v>
      </c>
      <c r="H28" s="24">
        <v>5155</v>
      </c>
      <c r="I28" s="24">
        <f>B28+C28+G28+F28+H28-'Balance sheet - Assets'!B28-'Balance sheet - Assets'!D28-'Balance sheet - Assets'!E28</f>
        <v>-1</v>
      </c>
    </row>
    <row r="29" ht="20.05" customHeight="1">
      <c r="A29" s="22"/>
      <c r="B29" s="23">
        <f>1580+154+17+185</f>
        <v>1936</v>
      </c>
      <c r="C29" s="24">
        <v>178</v>
      </c>
      <c r="D29" s="24">
        <v>4046</v>
      </c>
      <c r="E29" s="24">
        <v>365</v>
      </c>
      <c r="F29" s="24">
        <f>D29-B29</f>
        <v>2110</v>
      </c>
      <c r="G29" s="24">
        <f>E29-C29</f>
        <v>187</v>
      </c>
      <c r="H29" s="24">
        <v>5377</v>
      </c>
      <c r="I29" s="24">
        <f>B29+C29+G29+F29+H29-'Balance sheet - Assets'!B29-'Balance sheet - Assets'!D29-'Balance sheet - Assets'!E29</f>
        <v>-1</v>
      </c>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16384" width="10" customWidth="1"/>
  </cols>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dimension ref="B3:N30"/>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3.60938" style="29" customWidth="1"/>
    <col min="2" max="2" width="9.14844" style="29" customWidth="1"/>
    <col min="3" max="14" width="9.67969" style="29" customWidth="1"/>
    <col min="15" max="16384" width="16.3516" style="29" customWidth="1"/>
  </cols>
  <sheetData>
    <row r="1" ht="26.55" customHeight="1"/>
    <row r="2" ht="27.65" customHeight="1">
      <c r="B2" t="s" s="7">
        <v>40</v>
      </c>
      <c r="C2" s="7"/>
      <c r="D2" s="7"/>
      <c r="E2" s="7"/>
      <c r="F2" s="7"/>
      <c r="G2" s="7"/>
      <c r="H2" s="7"/>
      <c r="I2" s="7"/>
      <c r="J2" s="7"/>
      <c r="K2" s="7"/>
      <c r="L2" s="7"/>
      <c r="M2" s="7"/>
      <c r="N2" s="7"/>
    </row>
    <row r="3" ht="32.25" customHeight="1">
      <c r="B3" t="s" s="8">
        <v>20</v>
      </c>
      <c r="C3" t="s" s="8">
        <v>42</v>
      </c>
      <c r="D3" t="s" s="8">
        <v>43</v>
      </c>
      <c r="E3" t="s" s="8">
        <v>44</v>
      </c>
      <c r="F3" t="s" s="8">
        <v>45</v>
      </c>
      <c r="G3" t="s" s="8">
        <v>15</v>
      </c>
      <c r="H3" t="s" s="8">
        <v>46</v>
      </c>
      <c r="I3" t="s" s="8">
        <v>47</v>
      </c>
      <c r="J3" t="s" s="8">
        <v>48</v>
      </c>
      <c r="K3" t="s" s="8">
        <v>49</v>
      </c>
      <c r="L3" t="s" s="8">
        <v>15</v>
      </c>
      <c r="M3" s="30"/>
      <c r="N3" s="30"/>
    </row>
    <row r="4" ht="20.25" customHeight="1">
      <c r="B4" s="19">
        <v>2015</v>
      </c>
      <c r="C4" s="31">
        <v>1529</v>
      </c>
      <c r="D4" s="32">
        <v>0</v>
      </c>
      <c r="E4" s="32">
        <v>0</v>
      </c>
      <c r="F4" s="11">
        <v>3952.1</v>
      </c>
      <c r="G4" s="33"/>
      <c r="H4" s="11">
        <v>12.2</v>
      </c>
      <c r="I4" s="11">
        <v>75.40000000000001</v>
      </c>
      <c r="J4" s="33"/>
      <c r="K4" s="34">
        <f>(H4+I4-F4)/F4</f>
        <v>-0.977834568963336</v>
      </c>
      <c r="L4" s="35"/>
      <c r="M4" s="35"/>
      <c r="N4" s="35"/>
    </row>
    <row r="5" ht="20.05" customHeight="1">
      <c r="B5" s="22"/>
      <c r="C5" s="36">
        <v>1506</v>
      </c>
      <c r="D5" s="37">
        <v>0</v>
      </c>
      <c r="E5" s="37">
        <v>0</v>
      </c>
      <c r="F5" s="14">
        <v>4731.7</v>
      </c>
      <c r="G5" s="17"/>
      <c r="H5" s="14">
        <v>14.9</v>
      </c>
      <c r="I5" s="14">
        <v>38.1</v>
      </c>
      <c r="J5" s="17"/>
      <c r="K5" s="38">
        <f>(H5+I5-F5)/F5</f>
        <v>-0.988798951750956</v>
      </c>
      <c r="L5" s="39"/>
      <c r="M5" s="39">
        <f>F5/F4-1</f>
        <v>0.197262215024923</v>
      </c>
      <c r="N5" s="39"/>
    </row>
    <row r="6" ht="20.05" customHeight="1">
      <c r="B6" s="22"/>
      <c r="C6" s="36">
        <v>1502</v>
      </c>
      <c r="D6" s="37">
        <v>0</v>
      </c>
      <c r="E6" s="37">
        <v>0</v>
      </c>
      <c r="F6" s="14">
        <v>5266.9</v>
      </c>
      <c r="G6" s="17"/>
      <c r="H6" s="14">
        <v>11.6</v>
      </c>
      <c r="I6" s="14">
        <v>55.9</v>
      </c>
      <c r="J6" s="17"/>
      <c r="K6" s="38">
        <f>(H6+I6-F6)/F6</f>
        <v>-0.9871841120963</v>
      </c>
      <c r="L6" s="39"/>
      <c r="M6" s="39">
        <f>F6/F5-1</f>
        <v>0.113109453262041</v>
      </c>
      <c r="N6" s="39"/>
    </row>
    <row r="7" ht="20.05" customHeight="1">
      <c r="B7" s="22"/>
      <c r="C7" s="36">
        <v>1807</v>
      </c>
      <c r="D7" s="37">
        <v>0</v>
      </c>
      <c r="E7" s="37">
        <v>0</v>
      </c>
      <c r="F7" s="14">
        <v>6056.9</v>
      </c>
      <c r="G7" s="17"/>
      <c r="H7" s="14">
        <v>13.2</v>
      </c>
      <c r="I7" s="14">
        <v>60.4</v>
      </c>
      <c r="J7" s="17"/>
      <c r="K7" s="38">
        <f>(H7+I7-F7)/F7</f>
        <v>-0.9878485694001879</v>
      </c>
      <c r="L7" s="39"/>
      <c r="M7" s="39">
        <f>F7/F6-1</f>
        <v>0.149993354724791</v>
      </c>
      <c r="N7" s="39"/>
    </row>
    <row r="8" ht="20.05" customHeight="1">
      <c r="B8" s="25">
        <v>2016</v>
      </c>
      <c r="C8" s="36">
        <v>1712</v>
      </c>
      <c r="D8" s="37">
        <v>0</v>
      </c>
      <c r="E8" s="37">
        <v>413</v>
      </c>
      <c r="F8" s="14">
        <v>4850</v>
      </c>
      <c r="G8" s="17"/>
      <c r="H8" s="14">
        <v>15.7</v>
      </c>
      <c r="I8" s="14">
        <v>59.5</v>
      </c>
      <c r="J8" s="39">
        <f>F8/F4-1</f>
        <v>0.227195668125807</v>
      </c>
      <c r="K8" s="38">
        <f>(H8+I8-F8)/F8</f>
        <v>-0.984494845360825</v>
      </c>
      <c r="L8" s="39"/>
      <c r="M8" s="39">
        <f>F8/F7-1</f>
        <v>-0.19926034770262</v>
      </c>
      <c r="N8" s="39">
        <f>AVERAGE(M5:M8)</f>
        <v>0.06527616882728381</v>
      </c>
    </row>
    <row r="9" ht="20.05" customHeight="1">
      <c r="B9" s="22"/>
      <c r="C9" s="36">
        <v>1684</v>
      </c>
      <c r="D9" s="37">
        <v>0</v>
      </c>
      <c r="E9" s="37">
        <v>504</v>
      </c>
      <c r="F9" s="14">
        <v>5512.1</v>
      </c>
      <c r="G9" s="17"/>
      <c r="H9" s="14">
        <v>15.6</v>
      </c>
      <c r="I9" s="14">
        <v>68</v>
      </c>
      <c r="J9" s="39">
        <f>F9/F5-1</f>
        <v>0.164930151953843</v>
      </c>
      <c r="K9" s="38">
        <f>(H9+I9-F9)/F9</f>
        <v>-0.984833366593494</v>
      </c>
      <c r="L9" s="39"/>
      <c r="M9" s="39">
        <f>F9/F8-1</f>
        <v>0.136515463917526</v>
      </c>
      <c r="N9" s="39">
        <f>AVERAGE(M6:M9)</f>
        <v>0.0500894810504345</v>
      </c>
    </row>
    <row r="10" ht="20.05" customHeight="1">
      <c r="B10" s="22"/>
      <c r="C10" s="36">
        <v>1534</v>
      </c>
      <c r="D10" s="37">
        <v>0</v>
      </c>
      <c r="E10" s="37">
        <v>322</v>
      </c>
      <c r="F10" s="14">
        <v>5229.4</v>
      </c>
      <c r="G10" s="17"/>
      <c r="H10" s="14">
        <v>17.1</v>
      </c>
      <c r="I10" s="14">
        <v>62.7</v>
      </c>
      <c r="J10" s="39">
        <f>F10/F6-1</f>
        <v>-0.00711993772427804</v>
      </c>
      <c r="K10" s="38">
        <f>(H10+I10-F10)/F10</f>
        <v>-0.984740123149883</v>
      </c>
      <c r="L10" s="39"/>
      <c r="M10" s="39">
        <f>F10/F9-1</f>
        <v>-0.0512871682298942</v>
      </c>
      <c r="N10" s="39">
        <f>AVERAGE(M7:M10)</f>
        <v>0.0089903256774507</v>
      </c>
    </row>
    <row r="11" ht="20.05" customHeight="1">
      <c r="B11" s="22"/>
      <c r="C11" s="36">
        <v>2112</v>
      </c>
      <c r="D11" s="37">
        <v>0</v>
      </c>
      <c r="E11" s="37">
        <v>633</v>
      </c>
      <c r="F11" s="14">
        <v>4955.6</v>
      </c>
      <c r="G11" s="17"/>
      <c r="H11" s="14">
        <v>17</v>
      </c>
      <c r="I11" s="14">
        <v>71.5</v>
      </c>
      <c r="J11" s="39">
        <f>F11/F7-1</f>
        <v>-0.181825686407238</v>
      </c>
      <c r="K11" s="38">
        <f>(H11+I11-F11)/F11</f>
        <v>-0.982141415772056</v>
      </c>
      <c r="L11" s="39"/>
      <c r="M11" s="39">
        <f>F11/F10-1</f>
        <v>-0.0523578230772173</v>
      </c>
      <c r="N11" s="39">
        <f>AVERAGE(M8:M11)</f>
        <v>-0.0415974687730514</v>
      </c>
    </row>
    <row r="12" ht="20.05" customHeight="1">
      <c r="B12" s="25">
        <v>2017</v>
      </c>
      <c r="C12" s="36">
        <v>1806</v>
      </c>
      <c r="D12" s="37">
        <v>153</v>
      </c>
      <c r="E12" s="37">
        <v>912</v>
      </c>
      <c r="F12" s="14">
        <v>5165.9</v>
      </c>
      <c r="G12" s="17"/>
      <c r="H12" s="14">
        <v>18.26</v>
      </c>
      <c r="I12" s="14">
        <v>69.40000000000001</v>
      </c>
      <c r="J12" s="39">
        <f>F12/F8-1</f>
        <v>0.06513402061855671</v>
      </c>
      <c r="K12" s="38">
        <f>(H12+I12-F12)/F12</f>
        <v>-0.983031030410964</v>
      </c>
      <c r="L12" s="39"/>
      <c r="M12" s="39">
        <f>F12/F11-1</f>
        <v>0.0424368391314876</v>
      </c>
      <c r="N12" s="39">
        <f>AVERAGE(M9:M12)</f>
        <v>0.0188268279354755</v>
      </c>
    </row>
    <row r="13" ht="20.05" customHeight="1">
      <c r="B13" s="22"/>
      <c r="C13" s="36">
        <v>1881</v>
      </c>
      <c r="D13" s="37">
        <v>640</v>
      </c>
      <c r="E13" s="37">
        <v>342</v>
      </c>
      <c r="F13" s="14">
        <v>5890.5</v>
      </c>
      <c r="G13" s="17"/>
      <c r="H13" s="14">
        <v>18.44</v>
      </c>
      <c r="I13" s="14">
        <v>77.40000000000001</v>
      </c>
      <c r="J13" s="39">
        <f>F13/F9-1</f>
        <v>0.0686489722610257</v>
      </c>
      <c r="K13" s="38">
        <f>(H13+I13-F13)/F13</f>
        <v>-0.98372973431797</v>
      </c>
      <c r="L13" s="39"/>
      <c r="M13" s="39">
        <f>F13/F12-1</f>
        <v>0.140265974951122</v>
      </c>
      <c r="N13" s="39">
        <f>AVERAGE(M10:M13)</f>
        <v>0.0197644556938745</v>
      </c>
    </row>
    <row r="14" ht="20.05" customHeight="1">
      <c r="B14" s="22"/>
      <c r="C14" s="36">
        <v>1976</v>
      </c>
      <c r="D14" s="37">
        <v>489</v>
      </c>
      <c r="E14" s="37">
        <v>439</v>
      </c>
      <c r="F14" s="14">
        <v>5597.5</v>
      </c>
      <c r="G14" s="17"/>
      <c r="H14" s="14">
        <v>17.7</v>
      </c>
      <c r="I14" s="14">
        <v>84.09999999999999</v>
      </c>
      <c r="J14" s="39">
        <f>F14/F10-1</f>
        <v>0.0703904845680193</v>
      </c>
      <c r="K14" s="38">
        <f>(H14+I14-F14)/F14</f>
        <v>-0.981813309513176</v>
      </c>
      <c r="L14" s="39"/>
      <c r="M14" s="39">
        <f>F14/F13-1</f>
        <v>-0.049741108564638</v>
      </c>
      <c r="N14" s="39">
        <f>AVERAGE(M11:M14)</f>
        <v>0.0201509706101886</v>
      </c>
    </row>
    <row r="15" ht="20.05" customHeight="1">
      <c r="B15" s="22"/>
      <c r="C15" s="36">
        <v>2264</v>
      </c>
      <c r="D15" s="37">
        <v>1348</v>
      </c>
      <c r="E15" s="37">
        <v>893</v>
      </c>
      <c r="F15" s="14">
        <v>7576</v>
      </c>
      <c r="G15" s="17"/>
      <c r="H15" s="14">
        <v>22</v>
      </c>
      <c r="I15" s="14">
        <v>116.3</v>
      </c>
      <c r="J15" s="39">
        <f>F15/F11-1</f>
        <v>0.528775526676891</v>
      </c>
      <c r="K15" s="38">
        <f>(H15+I15-F15)/F15</f>
        <v>-0.981744984160507</v>
      </c>
      <c r="L15" s="39"/>
      <c r="M15" s="39">
        <f>F15/F14-1</f>
        <v>0.353461366681554</v>
      </c>
      <c r="N15" s="39">
        <f>AVERAGE(M12:M15)</f>
        <v>0.121605768049881</v>
      </c>
    </row>
    <row r="16" ht="20.05" customHeight="1">
      <c r="B16" s="25">
        <v>2018</v>
      </c>
      <c r="C16" s="36">
        <v>2366</v>
      </c>
      <c r="D16" s="37">
        <v>1621</v>
      </c>
      <c r="E16" s="37">
        <v>992</v>
      </c>
      <c r="F16" s="14">
        <v>8280</v>
      </c>
      <c r="G16" s="17"/>
      <c r="H16" s="14">
        <v>19.4</v>
      </c>
      <c r="I16" s="14">
        <v>216.5</v>
      </c>
      <c r="J16" s="39">
        <f>F16/F12-1</f>
        <v>0.602818482742601</v>
      </c>
      <c r="K16" s="38">
        <f>(H16+I16-F16)/F16</f>
        <v>-0.971509661835749</v>
      </c>
      <c r="L16" s="39"/>
      <c r="M16" s="39">
        <f>F16/F15-1</f>
        <v>0.0929250263991552</v>
      </c>
      <c r="N16" s="39">
        <f>AVERAGE(M13:M16)</f>
        <v>0.134227814866798</v>
      </c>
    </row>
    <row r="17" ht="20.05" customHeight="1">
      <c r="B17" s="22"/>
      <c r="C17" s="36">
        <v>2093</v>
      </c>
      <c r="D17" s="37">
        <v>4283</v>
      </c>
      <c r="E17" s="37">
        <v>649</v>
      </c>
      <c r="F17" s="14">
        <v>8812.4</v>
      </c>
      <c r="G17" s="17"/>
      <c r="H17" s="14">
        <v>20.8</v>
      </c>
      <c r="I17" s="14">
        <v>237.3</v>
      </c>
      <c r="J17" s="39">
        <f>F17/F13-1</f>
        <v>0.496035990153637</v>
      </c>
      <c r="K17" s="38">
        <f>(H17+I17-F17)/F17</f>
        <v>-0.970711724388362</v>
      </c>
      <c r="L17" s="39"/>
      <c r="M17" s="39">
        <f>F17/F16-1</f>
        <v>0.0642995169082126</v>
      </c>
      <c r="N17" s="39">
        <f>AVERAGE(M14:M17)</f>
        <v>0.115236200356071</v>
      </c>
    </row>
    <row r="18" ht="20.05" customHeight="1">
      <c r="B18" s="22"/>
      <c r="C18" s="36">
        <v>1589</v>
      </c>
      <c r="D18" s="37">
        <v>3572</v>
      </c>
      <c r="E18" s="37">
        <v>416</v>
      </c>
      <c r="F18" s="14">
        <v>8240.9</v>
      </c>
      <c r="G18" s="17"/>
      <c r="H18" s="14">
        <v>19.9</v>
      </c>
      <c r="I18" s="14">
        <v>202.2</v>
      </c>
      <c r="J18" s="39">
        <f>F18/F14-1</f>
        <v>0.472246538633318</v>
      </c>
      <c r="K18" s="38">
        <f>(H18+I18-F18)/F18</f>
        <v>-0.973049060175466</v>
      </c>
      <c r="L18" s="39"/>
      <c r="M18" s="39">
        <f>F18/F17-1</f>
        <v>-0.06485179973673461</v>
      </c>
      <c r="N18" s="39">
        <f>AVERAGE(M15:M18)</f>
        <v>0.111458527563047</v>
      </c>
    </row>
    <row r="19" ht="20.05" customHeight="1">
      <c r="B19" s="22"/>
      <c r="C19" s="36">
        <v>1669</v>
      </c>
      <c r="D19" s="37">
        <v>2161</v>
      </c>
      <c r="E19" s="37">
        <v>1019</v>
      </c>
      <c r="F19" s="14">
        <v>9410.700000000001</v>
      </c>
      <c r="G19" s="17"/>
      <c r="H19" s="14">
        <v>31.3</v>
      </c>
      <c r="I19" s="14">
        <v>233</v>
      </c>
      <c r="J19" s="39">
        <f>F19/F15-1</f>
        <v>0.242172650475185</v>
      </c>
      <c r="K19" s="38">
        <f>(H19+I19-F19)/F19</f>
        <v>-0.971914947878479</v>
      </c>
      <c r="L19" s="39"/>
      <c r="M19" s="39">
        <f>F19/F18-1</f>
        <v>0.141950515113641</v>
      </c>
      <c r="N19" s="39">
        <f>AVERAGE(M16:M19)</f>
        <v>0.0585808146710686</v>
      </c>
    </row>
    <row r="20" ht="20.05" customHeight="1">
      <c r="B20" s="25">
        <v>2019</v>
      </c>
      <c r="C20" s="36">
        <v>2137</v>
      </c>
      <c r="D20" s="37">
        <v>562</v>
      </c>
      <c r="E20" s="37">
        <v>377</v>
      </c>
      <c r="F20" s="14">
        <v>7124</v>
      </c>
      <c r="G20" s="17"/>
      <c r="H20" s="14">
        <v>25.8</v>
      </c>
      <c r="I20" s="14">
        <v>56.5</v>
      </c>
      <c r="J20" s="39">
        <f>F20/F16-1</f>
        <v>-0.139613526570048</v>
      </c>
      <c r="K20" s="38">
        <f>(H20+I20-F20)/F20</f>
        <v>-0.988447501403706</v>
      </c>
      <c r="L20" s="39"/>
      <c r="M20" s="39">
        <f>F20/F19-1</f>
        <v>-0.242989363171709</v>
      </c>
      <c r="N20" s="39">
        <f>AVERAGE(M17:M20)</f>
        <v>-0.0253977827216475</v>
      </c>
    </row>
    <row r="21" ht="20.05" customHeight="1">
      <c r="B21" s="22"/>
      <c r="C21" s="36">
        <v>1616</v>
      </c>
      <c r="D21" s="37">
        <v>803</v>
      </c>
      <c r="E21" s="37">
        <v>464</v>
      </c>
      <c r="F21" s="14">
        <v>8305</v>
      </c>
      <c r="G21" s="17"/>
      <c r="H21" s="14">
        <v>27.2</v>
      </c>
      <c r="I21" s="14">
        <v>67.5</v>
      </c>
      <c r="J21" s="39">
        <f>F21/F17-1</f>
        <v>-0.0575779583314421</v>
      </c>
      <c r="K21" s="38">
        <f>(H21+I21-F21)/F21</f>
        <v>-0.988597230583986</v>
      </c>
      <c r="L21" s="39"/>
      <c r="M21" s="39">
        <f>F21/F20-1</f>
        <v>0.16577765300393</v>
      </c>
      <c r="N21" s="39">
        <f>AVERAGE(M18:M21)</f>
        <v>-2.824869771815e-05</v>
      </c>
    </row>
    <row r="22" ht="20.05" customHeight="1">
      <c r="B22" s="22"/>
      <c r="C22" s="36">
        <v>2363</v>
      </c>
      <c r="D22" s="37">
        <v>2557</v>
      </c>
      <c r="E22" s="37">
        <v>410</v>
      </c>
      <c r="F22" s="14">
        <v>8184</v>
      </c>
      <c r="G22" s="14">
        <v>8240.9</v>
      </c>
      <c r="H22" s="14">
        <v>28.8</v>
      </c>
      <c r="I22" s="14">
        <v>52</v>
      </c>
      <c r="J22" s="39">
        <f>F22/F18-1</f>
        <v>-0.00690458566418716</v>
      </c>
      <c r="K22" s="38">
        <f>(H22+I22-F22)/F22</f>
        <v>-0.990127077223851</v>
      </c>
      <c r="L22" s="17"/>
      <c r="M22" s="39">
        <f>F22/F21-1</f>
        <v>-0.0145695364238411</v>
      </c>
      <c r="N22" s="39">
        <f>AVERAGE(M19:M22)</f>
        <v>0.0125423171305052</v>
      </c>
    </row>
    <row r="23" ht="20.05" customHeight="1">
      <c r="B23" s="22"/>
      <c r="C23" s="36">
        <v>2457.5</v>
      </c>
      <c r="D23" s="37">
        <v>2557</v>
      </c>
      <c r="E23" s="37">
        <v>410</v>
      </c>
      <c r="F23" s="14">
        <v>9331.9</v>
      </c>
      <c r="G23" s="14">
        <v>8940.165000000001</v>
      </c>
      <c r="H23" s="14">
        <f>'Balance sheet - Assets'!F26-'Balance sheet - Assets'!F25</f>
        <v>45</v>
      </c>
      <c r="I23" s="14">
        <v>149.583</v>
      </c>
      <c r="J23" s="39">
        <f>F23/F19-1</f>
        <v>-0.00837344724621973</v>
      </c>
      <c r="K23" s="38">
        <f>(H23+I23-F23)/F23</f>
        <v>-0.9791486192522419</v>
      </c>
      <c r="L23" s="17"/>
      <c r="M23" s="39">
        <f>F23/F22-1</f>
        <v>0.140261485826002</v>
      </c>
      <c r="N23" s="39">
        <f>AVERAGE(M20:M23)</f>
        <v>0.0121200598085955</v>
      </c>
    </row>
    <row r="24" ht="20.05" customHeight="1">
      <c r="B24" s="25">
        <v>2020</v>
      </c>
      <c r="C24" s="36">
        <v>2286</v>
      </c>
      <c r="D24" s="37">
        <v>982</v>
      </c>
      <c r="E24" s="37">
        <v>1364</v>
      </c>
      <c r="F24" s="14">
        <v>7806</v>
      </c>
      <c r="G24" s="40">
        <v>7836.4</v>
      </c>
      <c r="H24" s="14">
        <f>'Balance sheet - Assets'!F27-'Balance sheet - Assets'!F26</f>
        <v>37</v>
      </c>
      <c r="I24" s="14">
        <v>110</v>
      </c>
      <c r="J24" s="39">
        <f>F24/F20-1</f>
        <v>0.0957327344188658</v>
      </c>
      <c r="K24" s="38">
        <f>(H24+I24-F24)/F24</f>
        <v>-0.9811683320522669</v>
      </c>
      <c r="L24" s="17"/>
      <c r="M24" s="39">
        <f>F24/F23-1</f>
        <v>-0.163514396853803</v>
      </c>
      <c r="N24" s="39">
        <f>AVERAGE(M21:M24)</f>
        <v>0.031988801388072</v>
      </c>
    </row>
    <row r="25" ht="20.05" customHeight="1">
      <c r="B25" s="22"/>
      <c r="C25" s="36">
        <v>1226.82</v>
      </c>
      <c r="D25" s="37">
        <v>789.2</v>
      </c>
      <c r="E25" s="37">
        <v>1074.59</v>
      </c>
      <c r="F25" s="14">
        <v>6656.73</v>
      </c>
      <c r="G25" s="14">
        <v>6656.73</v>
      </c>
      <c r="H25" s="14">
        <f>'Balance sheet - Assets'!F28-'Balance sheet - Assets'!F27</f>
        <v>21</v>
      </c>
      <c r="I25" s="14">
        <v>14.228</v>
      </c>
      <c r="J25" s="39">
        <f>F25/F21-1</f>
        <v>-0.198467188440698</v>
      </c>
      <c r="K25" s="38">
        <f>(H25+I25-F25)/F25</f>
        <v>-0.994707912143049</v>
      </c>
      <c r="L25" s="17"/>
      <c r="M25" s="39">
        <f>F25/F24-1</f>
        <v>-0.147229054573405</v>
      </c>
      <c r="N25" s="39">
        <f>AVERAGE(M22:M25)</f>
        <v>-0.0462628755062618</v>
      </c>
    </row>
    <row r="26" ht="20.05" customHeight="1">
      <c r="B26" s="22"/>
      <c r="C26" s="36">
        <v>2275.18</v>
      </c>
      <c r="D26" s="37">
        <v>1377.8</v>
      </c>
      <c r="E26" s="37">
        <v>1535.41</v>
      </c>
      <c r="F26" s="14">
        <v>8707.27</v>
      </c>
      <c r="G26" s="14">
        <v>7529.28</v>
      </c>
      <c r="H26" s="14">
        <f>'Balance sheet - Assets'!F29-'Balance sheet - Assets'!F28</f>
        <v>34</v>
      </c>
      <c r="I26" s="14">
        <f>329-I25-I24</f>
        <v>204.772</v>
      </c>
      <c r="J26" s="39">
        <f>F26/F22-1</f>
        <v>0.0639381720430108</v>
      </c>
      <c r="K26" s="38">
        <f>(H26+I26-F26)/F26</f>
        <v>-0.972577857353683</v>
      </c>
      <c r="L26" s="38">
        <v>-0.979141271798311</v>
      </c>
      <c r="M26" s="39">
        <f>F26/F25-1</f>
        <v>0.308040133819458</v>
      </c>
      <c r="N26" s="39">
        <f>AVERAGE(M23:M26)</f>
        <v>0.034389542054563</v>
      </c>
    </row>
    <row r="27" ht="20.05" customHeight="1">
      <c r="B27" s="22"/>
      <c r="C27" s="41">
        <f>C26/C25-1</f>
        <v>0.854534487536884</v>
      </c>
      <c r="D27" s="42">
        <f>D26/D25-1</f>
        <v>0.745818550430816</v>
      </c>
      <c r="E27" s="42">
        <f>E26/E25-1</f>
        <v>0.428833322476479</v>
      </c>
      <c r="F27" s="17"/>
      <c r="G27" s="14">
        <f>'Model - Financial model'!C6</f>
        <v>9577.996999999999</v>
      </c>
      <c r="H27" s="14"/>
      <c r="I27" s="17"/>
      <c r="J27" s="17"/>
      <c r="K27" s="17"/>
      <c r="L27" s="39">
        <f>-'Model - Financial model'!C7</f>
        <v>-0.975863238302963</v>
      </c>
      <c r="M27" s="17"/>
      <c r="N27" s="43">
        <f>AVERAGE('Model - Financial model'!C5:F5)</f>
        <v>0.0225</v>
      </c>
    </row>
    <row r="28" ht="20.05" customHeight="1">
      <c r="B28" s="25">
        <v>2021</v>
      </c>
      <c r="C28" s="36"/>
      <c r="D28" s="37"/>
      <c r="E28" s="37"/>
      <c r="F28" s="14"/>
      <c r="G28" s="14">
        <f>'Model - Financial model'!D6</f>
        <v>8907.53721</v>
      </c>
      <c r="H28" s="14"/>
      <c r="I28" s="17"/>
      <c r="J28" s="17"/>
      <c r="K28" s="17"/>
      <c r="L28" s="17"/>
      <c r="M28" s="17"/>
      <c r="N28" s="17"/>
    </row>
    <row r="29" ht="20.05" customHeight="1">
      <c r="B29" s="22"/>
      <c r="C29" s="36"/>
      <c r="D29" s="37"/>
      <c r="E29" s="37"/>
      <c r="F29" s="14"/>
      <c r="G29" s="14">
        <f>'Model - Financial model'!E6</f>
        <v>9085.687954200001</v>
      </c>
      <c r="H29" s="14"/>
      <c r="I29" s="17"/>
      <c r="J29" s="17"/>
      <c r="K29" s="17"/>
      <c r="L29" s="17"/>
      <c r="M29" s="17"/>
      <c r="N29" s="17"/>
    </row>
    <row r="30" ht="20.05" customHeight="1">
      <c r="B30" s="22"/>
      <c r="C30" s="36"/>
      <c r="D30" s="37"/>
      <c r="E30" s="37"/>
      <c r="F30" s="14"/>
      <c r="G30" s="14">
        <f>'Model - Financial model'!F6</f>
        <v>9449.115472367999</v>
      </c>
      <c r="H30" s="14"/>
      <c r="I30" s="17"/>
      <c r="J30" s="17"/>
      <c r="K30" s="17"/>
      <c r="L30" s="17"/>
      <c r="M30" s="17"/>
      <c r="N30" s="17"/>
    </row>
  </sheetData>
  <mergeCells count="1">
    <mergeCell ref="B2:N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B3:E87"/>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15.8594" style="44" customWidth="1"/>
    <col min="2" max="2" width="5.26562" style="44" customWidth="1"/>
    <col min="3" max="5" width="9.89844" style="44" customWidth="1"/>
    <col min="6" max="16384" width="16.3516" style="44" customWidth="1"/>
  </cols>
  <sheetData>
    <row r="1" ht="51.05" customHeight="1"/>
    <row r="2" ht="27.65" customHeight="1">
      <c r="B2" t="s" s="7">
        <v>51</v>
      </c>
      <c r="C2" s="7"/>
      <c r="D2" s="7"/>
      <c r="E2" s="7"/>
    </row>
    <row r="3" ht="20.25" customHeight="1">
      <c r="B3" s="45"/>
      <c r="C3" t="s" s="9">
        <v>53</v>
      </c>
      <c r="D3" t="s" s="9">
        <v>54</v>
      </c>
      <c r="E3" t="s" s="9">
        <v>55</v>
      </c>
    </row>
    <row r="4" ht="20.25" customHeight="1">
      <c r="B4" s="19">
        <v>2014</v>
      </c>
      <c r="C4" s="20">
        <v>284</v>
      </c>
      <c r="D4" s="21">
        <v>1200</v>
      </c>
      <c r="E4" s="21"/>
    </row>
    <row r="5" ht="20.05" customHeight="1">
      <c r="B5" s="22"/>
      <c r="C5" s="23">
        <v>501</v>
      </c>
      <c r="D5" s="24">
        <v>1440</v>
      </c>
      <c r="E5" s="24"/>
    </row>
    <row r="6" ht="20.05" customHeight="1">
      <c r="B6" s="22"/>
      <c r="C6" s="23">
        <v>333</v>
      </c>
      <c r="D6" s="24">
        <v>1370</v>
      </c>
      <c r="E6" s="24"/>
    </row>
    <row r="7" ht="20.05" customHeight="1">
      <c r="B7" s="22"/>
      <c r="C7" s="23">
        <v>402</v>
      </c>
      <c r="D7" s="24">
        <v>1200</v>
      </c>
      <c r="E7" s="24"/>
    </row>
    <row r="8" ht="20.05" customHeight="1">
      <c r="B8" s="22"/>
      <c r="C8" s="23">
        <v>209</v>
      </c>
      <c r="D8" s="24">
        <v>1345</v>
      </c>
      <c r="E8" s="24"/>
    </row>
    <row r="9" ht="20.05" customHeight="1">
      <c r="B9" s="22"/>
      <c r="C9" s="23">
        <v>176</v>
      </c>
      <c r="D9" s="24">
        <v>1080</v>
      </c>
      <c r="E9" s="24"/>
    </row>
    <row r="10" ht="20.05" customHeight="1">
      <c r="B10" s="22"/>
      <c r="C10" s="23">
        <v>322</v>
      </c>
      <c r="D10" s="24">
        <v>1135</v>
      </c>
      <c r="E10" s="24"/>
    </row>
    <row r="11" ht="20.05" customHeight="1">
      <c r="B11" s="22"/>
      <c r="C11" s="23">
        <v>383</v>
      </c>
      <c r="D11" s="24">
        <v>1140</v>
      </c>
      <c r="E11" s="24"/>
    </row>
    <row r="12" ht="20.05" customHeight="1">
      <c r="B12" s="22"/>
      <c r="C12" s="23">
        <v>417</v>
      </c>
      <c r="D12" s="24">
        <v>1060</v>
      </c>
      <c r="E12" s="24"/>
    </row>
    <row r="13" ht="20.05" customHeight="1">
      <c r="B13" s="22"/>
      <c r="C13" s="23">
        <v>267</v>
      </c>
      <c r="D13" s="24">
        <v>1020</v>
      </c>
      <c r="E13" s="24"/>
    </row>
    <row r="14" ht="20.05" customHeight="1">
      <c r="B14" s="22"/>
      <c r="C14" s="23">
        <v>495</v>
      </c>
      <c r="D14" s="24">
        <v>1200</v>
      </c>
      <c r="E14" s="24"/>
    </row>
    <row r="15" ht="20.05" customHeight="1">
      <c r="B15" s="22"/>
      <c r="C15" s="23">
        <v>268</v>
      </c>
      <c r="D15" s="24">
        <v>1090</v>
      </c>
      <c r="E15" s="24"/>
    </row>
    <row r="16" ht="20.05" customHeight="1">
      <c r="B16" s="25">
        <v>2015</v>
      </c>
      <c r="C16" s="23">
        <v>266</v>
      </c>
      <c r="D16" s="24">
        <v>1205</v>
      </c>
      <c r="E16" s="24"/>
    </row>
    <row r="17" ht="20.05" customHeight="1">
      <c r="B17" s="22"/>
      <c r="C17" s="23">
        <v>243</v>
      </c>
      <c r="D17" s="24">
        <v>1120</v>
      </c>
      <c r="E17" s="24"/>
    </row>
    <row r="18" ht="20.05" customHeight="1">
      <c r="B18" s="22"/>
      <c r="C18" s="23">
        <v>316</v>
      </c>
      <c r="D18" s="24">
        <v>875</v>
      </c>
      <c r="E18" s="24"/>
    </row>
    <row r="19" ht="20.05" customHeight="1">
      <c r="B19" s="22"/>
      <c r="C19" s="23">
        <v>395</v>
      </c>
      <c r="D19" s="24">
        <v>825</v>
      </c>
      <c r="E19" s="24"/>
    </row>
    <row r="20" ht="20.05" customHeight="1">
      <c r="B20" s="22"/>
      <c r="C20" s="23">
        <v>211</v>
      </c>
      <c r="D20" s="24">
        <v>740</v>
      </c>
      <c r="E20" s="24"/>
    </row>
    <row r="21" ht="20.05" customHeight="1">
      <c r="B21" s="22"/>
      <c r="C21" s="23">
        <v>808</v>
      </c>
      <c r="D21" s="24">
        <v>590</v>
      </c>
      <c r="E21" s="24"/>
    </row>
    <row r="22" ht="20.05" customHeight="1">
      <c r="B22" s="22"/>
      <c r="C22" s="23">
        <v>299</v>
      </c>
      <c r="D22" s="24">
        <v>525</v>
      </c>
      <c r="E22" s="24"/>
    </row>
    <row r="23" ht="20.05" customHeight="1">
      <c r="B23" s="22"/>
      <c r="C23" s="23">
        <v>267</v>
      </c>
      <c r="D23" s="24">
        <v>450</v>
      </c>
      <c r="E23" s="24"/>
    </row>
    <row r="24" ht="20.05" customHeight="1">
      <c r="B24" s="22"/>
      <c r="C24" s="23">
        <v>183</v>
      </c>
      <c r="D24" s="24">
        <v>560</v>
      </c>
      <c r="E24" s="24"/>
    </row>
    <row r="25" ht="20.05" customHeight="1">
      <c r="B25" s="22"/>
      <c r="C25" s="23">
        <v>190</v>
      </c>
      <c r="D25" s="24">
        <v>640</v>
      </c>
      <c r="E25" s="24"/>
    </row>
    <row r="26" ht="20.05" customHeight="1">
      <c r="B26" s="22"/>
      <c r="C26" s="23">
        <v>137</v>
      </c>
      <c r="D26" s="24">
        <v>570</v>
      </c>
      <c r="E26" s="24"/>
    </row>
    <row r="27" ht="20.05" customHeight="1">
      <c r="B27" s="22"/>
      <c r="C27" s="23">
        <v>69</v>
      </c>
      <c r="D27" s="24">
        <v>545</v>
      </c>
      <c r="E27" s="24"/>
    </row>
    <row r="28" ht="20.05" customHeight="1">
      <c r="B28" s="25">
        <v>2016</v>
      </c>
      <c r="C28" s="23">
        <v>56</v>
      </c>
      <c r="D28" s="24">
        <v>525</v>
      </c>
      <c r="E28" s="24"/>
    </row>
    <row r="29" ht="20.05" customHeight="1">
      <c r="B29" s="22"/>
      <c r="C29" s="23">
        <v>74</v>
      </c>
      <c r="D29" s="24">
        <v>497</v>
      </c>
      <c r="E29" s="24"/>
    </row>
    <row r="30" ht="20.05" customHeight="1">
      <c r="B30" s="22"/>
      <c r="C30" s="23">
        <v>335</v>
      </c>
      <c r="D30" s="24">
        <v>690</v>
      </c>
      <c r="E30" s="24"/>
    </row>
    <row r="31" ht="20.05" customHeight="1">
      <c r="B31" s="22"/>
      <c r="C31" s="23">
        <v>161</v>
      </c>
      <c r="D31" s="24">
        <v>735</v>
      </c>
      <c r="E31" s="24"/>
    </row>
    <row r="32" ht="20.05" customHeight="1">
      <c r="B32" s="22"/>
      <c r="C32" s="23">
        <v>77</v>
      </c>
      <c r="D32" s="24">
        <v>645</v>
      </c>
      <c r="E32" s="24"/>
    </row>
    <row r="33" ht="20.05" customHeight="1">
      <c r="B33" s="22"/>
      <c r="C33" s="23">
        <v>117</v>
      </c>
      <c r="D33" s="24">
        <v>585</v>
      </c>
      <c r="E33" s="24"/>
    </row>
    <row r="34" ht="20.05" customHeight="1">
      <c r="B34" s="22"/>
      <c r="C34" s="23">
        <v>306</v>
      </c>
      <c r="D34" s="24">
        <v>800</v>
      </c>
      <c r="E34" s="24"/>
    </row>
    <row r="35" ht="20.05" customHeight="1">
      <c r="B35" s="22"/>
      <c r="C35" s="23">
        <v>368</v>
      </c>
      <c r="D35" s="24">
        <v>835</v>
      </c>
      <c r="E35" s="24"/>
    </row>
    <row r="36" ht="20.05" customHeight="1">
      <c r="B36" s="22"/>
      <c r="C36" s="23">
        <v>155</v>
      </c>
      <c r="D36" s="24">
        <v>670</v>
      </c>
      <c r="E36" s="24"/>
    </row>
    <row r="37" ht="20.05" customHeight="1">
      <c r="B37" s="22"/>
      <c r="C37" s="23">
        <v>221</v>
      </c>
      <c r="D37" s="24">
        <v>655</v>
      </c>
      <c r="E37" s="24"/>
    </row>
    <row r="38" ht="20.05" customHeight="1">
      <c r="B38" s="22"/>
      <c r="C38" s="23">
        <v>198</v>
      </c>
      <c r="D38" s="24">
        <v>610</v>
      </c>
      <c r="E38" s="24"/>
    </row>
    <row r="39" ht="20.05" customHeight="1">
      <c r="B39" s="22"/>
      <c r="C39" s="23">
        <v>93</v>
      </c>
      <c r="D39" s="24">
        <v>600</v>
      </c>
      <c r="E39" s="24"/>
    </row>
    <row r="40" ht="20.05" customHeight="1">
      <c r="B40" s="25">
        <v>2017</v>
      </c>
      <c r="C40" s="23">
        <v>49</v>
      </c>
      <c r="D40" s="24">
        <v>610</v>
      </c>
      <c r="E40" s="24"/>
    </row>
    <row r="41" ht="20.05" customHeight="1">
      <c r="B41" s="22"/>
      <c r="C41" s="23">
        <v>117</v>
      </c>
      <c r="D41" s="24">
        <v>615</v>
      </c>
      <c r="E41" s="24"/>
    </row>
    <row r="42" ht="20.05" customHeight="1">
      <c r="B42" s="22"/>
      <c r="C42" s="23">
        <v>106</v>
      </c>
      <c r="D42" s="24">
        <v>605</v>
      </c>
      <c r="E42" s="24"/>
    </row>
    <row r="43" ht="20.05" customHeight="1">
      <c r="B43" s="22"/>
      <c r="C43" s="23">
        <v>436</v>
      </c>
      <c r="D43" s="24">
        <v>730</v>
      </c>
      <c r="E43" s="24"/>
    </row>
    <row r="44" ht="20.05" customHeight="1">
      <c r="B44" s="22"/>
      <c r="C44" s="23">
        <v>184</v>
      </c>
      <c r="D44" s="24">
        <v>655</v>
      </c>
      <c r="E44" s="24"/>
    </row>
    <row r="45" ht="20.05" customHeight="1">
      <c r="B45" s="22"/>
      <c r="C45" s="23">
        <v>77</v>
      </c>
      <c r="D45" s="24">
        <v>630</v>
      </c>
      <c r="E45" s="24"/>
    </row>
    <row r="46" ht="20.05" customHeight="1">
      <c r="B46" s="22"/>
      <c r="C46" s="23">
        <v>155</v>
      </c>
      <c r="D46" s="24">
        <v>640</v>
      </c>
      <c r="E46" s="24"/>
    </row>
    <row r="47" ht="20.05" customHeight="1">
      <c r="B47" s="22"/>
      <c r="C47" s="23">
        <v>327</v>
      </c>
      <c r="D47" s="24">
        <v>700</v>
      </c>
      <c r="E47" s="24"/>
    </row>
    <row r="48" ht="20.05" customHeight="1">
      <c r="B48" s="22"/>
      <c r="C48" s="23">
        <v>282</v>
      </c>
      <c r="D48" s="24">
        <v>830</v>
      </c>
      <c r="E48" s="24"/>
    </row>
    <row r="49" ht="20.05" customHeight="1">
      <c r="B49" s="22"/>
      <c r="C49" s="23">
        <v>240</v>
      </c>
      <c r="D49" s="24">
        <v>790</v>
      </c>
      <c r="E49" s="24"/>
    </row>
    <row r="50" ht="20.05" customHeight="1">
      <c r="B50" s="22"/>
      <c r="C50" s="23">
        <v>142</v>
      </c>
      <c r="D50" s="24">
        <v>730</v>
      </c>
      <c r="E50" s="24"/>
    </row>
    <row r="51" ht="20.05" customHeight="1">
      <c r="B51" s="22"/>
      <c r="C51" s="23">
        <v>147</v>
      </c>
      <c r="D51" s="24">
        <v>735</v>
      </c>
      <c r="E51" s="24"/>
    </row>
    <row r="52" ht="20.05" customHeight="1">
      <c r="B52" s="25">
        <v>2018</v>
      </c>
      <c r="C52" s="23">
        <v>333</v>
      </c>
      <c r="D52" s="24">
        <v>840</v>
      </c>
      <c r="E52" s="24"/>
    </row>
    <row r="53" ht="20.05" customHeight="1">
      <c r="B53" s="22"/>
      <c r="C53" s="23">
        <v>336</v>
      </c>
      <c r="D53" s="24">
        <v>995</v>
      </c>
      <c r="E53" s="24"/>
    </row>
    <row r="54" ht="20.05" customHeight="1">
      <c r="B54" s="22"/>
      <c r="C54" s="23">
        <v>571</v>
      </c>
      <c r="D54" s="24">
        <v>1265</v>
      </c>
      <c r="E54" s="24"/>
    </row>
    <row r="55" ht="20.05" customHeight="1">
      <c r="B55" s="22"/>
      <c r="C55" s="23">
        <v>341</v>
      </c>
      <c r="D55" s="24">
        <v>1710</v>
      </c>
      <c r="E55" s="24"/>
    </row>
    <row r="56" ht="20.05" customHeight="1">
      <c r="B56" s="22"/>
      <c r="C56" s="23">
        <v>765</v>
      </c>
      <c r="D56" s="24">
        <v>2570</v>
      </c>
      <c r="E56" s="24"/>
    </row>
    <row r="57" ht="20.05" customHeight="1">
      <c r="B57" s="22"/>
      <c r="C57" s="23">
        <v>793</v>
      </c>
      <c r="D57" s="24">
        <v>2440</v>
      </c>
      <c r="E57" s="24"/>
    </row>
    <row r="58" ht="20.05" customHeight="1">
      <c r="B58" s="22"/>
      <c r="C58" s="23">
        <v>774</v>
      </c>
      <c r="D58" s="24">
        <v>3120</v>
      </c>
      <c r="E58" s="24"/>
    </row>
    <row r="59" ht="20.05" customHeight="1">
      <c r="B59" s="22"/>
      <c r="C59" s="23">
        <v>625</v>
      </c>
      <c r="D59" s="24">
        <v>2680</v>
      </c>
      <c r="E59" s="24"/>
    </row>
    <row r="60" ht="20.05" customHeight="1">
      <c r="B60" s="22"/>
      <c r="C60" s="23">
        <v>445</v>
      </c>
      <c r="D60" s="24">
        <v>2400</v>
      </c>
      <c r="E60" s="24"/>
    </row>
    <row r="61" ht="20.05" customHeight="1">
      <c r="B61" s="22"/>
      <c r="C61" s="23">
        <v>478</v>
      </c>
      <c r="D61" s="24">
        <v>1700</v>
      </c>
      <c r="E61" s="24"/>
    </row>
    <row r="62" ht="20.05" customHeight="1">
      <c r="B62" s="22"/>
      <c r="C62" s="23">
        <v>1080</v>
      </c>
      <c r="D62" s="24">
        <v>2210</v>
      </c>
      <c r="E62" s="24"/>
    </row>
    <row r="63" ht="20.05" customHeight="1">
      <c r="B63" s="22"/>
      <c r="C63" s="23">
        <v>381</v>
      </c>
      <c r="D63" s="24">
        <v>2200</v>
      </c>
      <c r="E63" s="24"/>
    </row>
    <row r="64" ht="20.05" customHeight="1">
      <c r="B64" s="25">
        <v>2019</v>
      </c>
      <c r="C64" s="23">
        <v>785</v>
      </c>
      <c r="D64" s="24">
        <v>2290</v>
      </c>
      <c r="E64" s="24"/>
    </row>
    <row r="65" ht="20.05" customHeight="1">
      <c r="B65" s="22"/>
      <c r="C65" s="23">
        <v>535</v>
      </c>
      <c r="D65" s="24">
        <v>2090</v>
      </c>
      <c r="E65" s="24"/>
    </row>
    <row r="66" ht="20.05" customHeight="1">
      <c r="B66" s="22"/>
      <c r="C66" s="23">
        <v>339</v>
      </c>
      <c r="D66" s="24">
        <v>1770</v>
      </c>
      <c r="E66" s="24"/>
    </row>
    <row r="67" ht="20.05" customHeight="1">
      <c r="B67" s="22"/>
      <c r="C67" s="23">
        <v>659</v>
      </c>
      <c r="D67" s="24">
        <v>1450</v>
      </c>
      <c r="E67" s="24"/>
    </row>
    <row r="68" ht="20.05" customHeight="1">
      <c r="B68" s="22"/>
      <c r="C68" s="23">
        <v>1120</v>
      </c>
      <c r="D68" s="24">
        <v>1175</v>
      </c>
      <c r="E68" s="24"/>
    </row>
    <row r="69" ht="20.05" customHeight="1">
      <c r="B69" s="22"/>
      <c r="C69" s="23">
        <v>1090</v>
      </c>
      <c r="D69" s="24">
        <v>1920</v>
      </c>
      <c r="E69" s="24"/>
    </row>
    <row r="70" ht="20.05" customHeight="1">
      <c r="B70" s="22"/>
      <c r="C70" s="23">
        <v>1010</v>
      </c>
      <c r="D70" s="24">
        <v>2100</v>
      </c>
      <c r="E70" s="24"/>
    </row>
    <row r="71" ht="20.05" customHeight="1">
      <c r="B71" s="22"/>
      <c r="C71" s="23">
        <v>1120</v>
      </c>
      <c r="D71" s="24">
        <v>1550</v>
      </c>
      <c r="E71" s="24"/>
    </row>
    <row r="72" ht="20.05" customHeight="1">
      <c r="B72" s="22"/>
      <c r="C72" s="23">
        <v>1010</v>
      </c>
      <c r="D72" s="24">
        <v>1825</v>
      </c>
      <c r="E72" s="24"/>
    </row>
    <row r="73" ht="20.05" customHeight="1">
      <c r="B73" s="22"/>
      <c r="C73" s="23">
        <v>899</v>
      </c>
      <c r="D73" s="24">
        <v>1760</v>
      </c>
      <c r="E73" s="17"/>
    </row>
    <row r="74" ht="20.05" customHeight="1">
      <c r="B74" s="22"/>
      <c r="C74" s="23">
        <v>385.58</v>
      </c>
      <c r="D74" s="24">
        <v>1525</v>
      </c>
      <c r="E74" s="17"/>
    </row>
    <row r="75" ht="20.05" customHeight="1">
      <c r="B75" s="22"/>
      <c r="C75" s="23">
        <v>474.71</v>
      </c>
      <c r="D75" s="24">
        <v>1795</v>
      </c>
      <c r="E75" s="17"/>
    </row>
    <row r="76" ht="20.05" customHeight="1">
      <c r="B76" s="25">
        <v>2020</v>
      </c>
      <c r="C76" s="23">
        <v>325.7</v>
      </c>
      <c r="D76" s="24">
        <v>1590</v>
      </c>
      <c r="E76" s="17"/>
    </row>
    <row r="77" ht="20.05" customHeight="1">
      <c r="B77" s="22"/>
      <c r="C77" s="23">
        <v>317.95</v>
      </c>
      <c r="D77" s="24">
        <v>1620</v>
      </c>
      <c r="E77" s="17"/>
    </row>
    <row r="78" ht="20.05" customHeight="1">
      <c r="B78" s="22"/>
      <c r="C78" s="23">
        <v>369.9</v>
      </c>
      <c r="D78" s="24">
        <v>935</v>
      </c>
      <c r="E78" s="17"/>
    </row>
    <row r="79" ht="20.05" customHeight="1">
      <c r="B79" s="22"/>
      <c r="C79" s="23">
        <v>712</v>
      </c>
      <c r="D79" s="24">
        <v>1260</v>
      </c>
      <c r="E79" s="17"/>
    </row>
    <row r="80" ht="20.05" customHeight="1">
      <c r="B80" s="22"/>
      <c r="C80" s="23">
        <v>310</v>
      </c>
      <c r="D80" s="24">
        <v>1255</v>
      </c>
      <c r="E80" s="17"/>
    </row>
    <row r="81" ht="20.05" customHeight="1">
      <c r="B81" s="22"/>
      <c r="C81" s="46">
        <v>340.0137</v>
      </c>
      <c r="D81" s="47">
        <v>1255</v>
      </c>
      <c r="E81" s="17"/>
    </row>
    <row r="82" ht="20.05" customHeight="1">
      <c r="B82" s="22"/>
      <c r="C82" s="46">
        <v>607.6757</v>
      </c>
      <c r="D82" s="47">
        <v>1470</v>
      </c>
      <c r="E82" s="17"/>
    </row>
    <row r="83" ht="20.05" customHeight="1">
      <c r="B83" s="22"/>
      <c r="C83" s="46">
        <v>527.3261</v>
      </c>
      <c r="D83" s="47">
        <v>1720</v>
      </c>
      <c r="E83" s="17"/>
    </row>
    <row r="84" ht="20.05" customHeight="1">
      <c r="B84" s="22"/>
      <c r="C84" s="46">
        <v>375.9816</v>
      </c>
      <c r="D84" s="47">
        <v>1545</v>
      </c>
      <c r="E84" s="17"/>
    </row>
    <row r="85" ht="20.05" customHeight="1">
      <c r="B85" s="22"/>
      <c r="C85" s="46">
        <v>232.5678</v>
      </c>
      <c r="D85" s="47">
        <v>1745</v>
      </c>
      <c r="E85" s="17"/>
    </row>
    <row r="86" ht="20.05" customHeight="1">
      <c r="B86" s="22"/>
      <c r="C86" s="46">
        <v>273.5819</v>
      </c>
      <c r="D86" s="47">
        <v>1775</v>
      </c>
      <c r="E86" s="47">
        <f>D86</f>
        <v>1775</v>
      </c>
    </row>
    <row r="87" ht="20.05" customHeight="1">
      <c r="B87" s="22"/>
      <c r="C87" s="46"/>
      <c r="D87" s="47"/>
      <c r="E87" s="24">
        <f>'Valuation  - Valuation'!D10</f>
        <v>2108.847414777070</v>
      </c>
    </row>
  </sheetData>
  <mergeCells count="1">
    <mergeCell ref="B2:E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B3:F35"/>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3.53906" style="48" customWidth="1"/>
    <col min="2" max="2" width="21.3125" style="48" customWidth="1"/>
    <col min="3" max="6" width="8.16406" style="48" customWidth="1"/>
    <col min="7" max="16384" width="16.3516" style="48" customWidth="1"/>
  </cols>
  <sheetData>
    <row r="1" ht="27.9" customHeight="1"/>
    <row r="2" ht="27.65" customHeight="1">
      <c r="B2" t="s" s="7">
        <v>57</v>
      </c>
      <c r="C2" s="7"/>
      <c r="D2" s="7"/>
      <c r="E2" s="7"/>
      <c r="F2" s="7"/>
    </row>
    <row r="3" ht="20.25" customHeight="1">
      <c r="B3" t="s" s="9">
        <v>20</v>
      </c>
      <c r="C3" t="s" s="8">
        <v>59</v>
      </c>
      <c r="D3" t="s" s="8">
        <v>60</v>
      </c>
      <c r="E3" t="s" s="8">
        <v>61</v>
      </c>
      <c r="F3" t="s" s="8">
        <v>62</v>
      </c>
    </row>
    <row r="4" ht="20.25" customHeight="1">
      <c r="B4" t="s" s="49">
        <v>4</v>
      </c>
      <c r="C4" s="50"/>
      <c r="D4" s="33"/>
      <c r="E4" s="33"/>
      <c r="F4" s="33"/>
    </row>
    <row r="5" ht="20.05" customHeight="1">
      <c r="B5" t="s" s="51">
        <v>63</v>
      </c>
      <c r="C5" s="52">
        <v>0.1</v>
      </c>
      <c r="D5" s="43">
        <v>-0.07000000000000001</v>
      </c>
      <c r="E5" s="43">
        <v>0.02</v>
      </c>
      <c r="F5" s="43">
        <v>0.04</v>
      </c>
    </row>
    <row r="6" ht="20.05" customHeight="1">
      <c r="B6" t="s" s="51">
        <v>64</v>
      </c>
      <c r="C6" s="53">
        <f>'Profit  - Quarterly profit'!F26*(1+C5)</f>
        <v>9577.996999999999</v>
      </c>
      <c r="D6" s="14">
        <f>C6*(1+D5)</f>
        <v>8907.53721</v>
      </c>
      <c r="E6" s="14">
        <f>D6*(1+E5)</f>
        <v>9085.687954200001</v>
      </c>
      <c r="F6" s="14">
        <f>E6*(1+F5)</f>
        <v>9449.115472367999</v>
      </c>
    </row>
    <row r="7" ht="20.05" customHeight="1">
      <c r="B7" t="s" s="51">
        <v>65</v>
      </c>
      <c r="C7" s="54">
        <f>-AVERAGE('Profit  - Quarterly profit'!K23,'Profit  - Quarterly profit'!K26)</f>
        <v>0.975863238302963</v>
      </c>
      <c r="D7" s="39">
        <f>C7</f>
        <v>0.975863238302963</v>
      </c>
      <c r="E7" s="39">
        <f>D7</f>
        <v>0.975863238302963</v>
      </c>
      <c r="F7" s="39">
        <f>E7</f>
        <v>0.975863238302963</v>
      </c>
    </row>
    <row r="8" ht="20.05" customHeight="1">
      <c r="B8" t="s" s="51">
        <v>66</v>
      </c>
      <c r="C8" s="53">
        <f>-C6*C7</f>
        <v>-9346.815168876061</v>
      </c>
      <c r="D8" s="14">
        <f>-D6*D7</f>
        <v>-8692.538107054739</v>
      </c>
      <c r="E8" s="14">
        <f>-E6*E7</f>
        <v>-8866.388869195829</v>
      </c>
      <c r="F8" s="14">
        <f>-F6*F7</f>
        <v>-9221.044423963671</v>
      </c>
    </row>
    <row r="9" ht="20.05" customHeight="1">
      <c r="B9" t="s" s="51">
        <v>67</v>
      </c>
      <c r="C9" s="53">
        <f>C6+C8</f>
        <v>231.181831123940</v>
      </c>
      <c r="D9" s="14">
        <f>D6+D8</f>
        <v>214.999102945260</v>
      </c>
      <c r="E9" s="14">
        <f>E6+E8</f>
        <v>219.299085004170</v>
      </c>
      <c r="F9" s="14">
        <f>F6+F8</f>
        <v>228.071048404330</v>
      </c>
    </row>
    <row r="10" ht="20.05" customHeight="1">
      <c r="B10" t="s" s="51">
        <v>68</v>
      </c>
      <c r="C10" s="53">
        <f>AVERAGE('Cash flow - Quarterly cash flow'!H28:H30)</f>
        <v>-156.333333333333</v>
      </c>
      <c r="D10" s="14">
        <f>C10</f>
        <v>-156.333333333333</v>
      </c>
      <c r="E10" s="14">
        <f>D10</f>
        <v>-156.333333333333</v>
      </c>
      <c r="F10" s="14">
        <f>E10</f>
        <v>-156.333333333333</v>
      </c>
    </row>
    <row r="11" ht="20.05" customHeight="1">
      <c r="B11" t="s" s="51">
        <v>69</v>
      </c>
      <c r="C11" s="53">
        <f>C12+C13+C15</f>
        <v>-74.848497790607</v>
      </c>
      <c r="D11" s="14">
        <f>D12+D13+D15</f>
        <v>-58.665769611927</v>
      </c>
      <c r="E11" s="14">
        <f>E12+E13+E15</f>
        <v>-62.965751670837</v>
      </c>
      <c r="F11" s="14">
        <f>F12+F13+F15</f>
        <v>-71.737715070997</v>
      </c>
    </row>
    <row r="12" ht="20.05" customHeight="1">
      <c r="B12" t="s" s="51">
        <v>70</v>
      </c>
      <c r="C12" s="53">
        <f>-('Balance sheet - Liabilities'!B29+'Balance sheet - Liabilities'!C29)/20</f>
        <v>-105.7</v>
      </c>
      <c r="D12" s="14">
        <f>-C30/20</f>
        <v>-100.415</v>
      </c>
      <c r="E12" s="14">
        <f>-D30/20</f>
        <v>-95.39425</v>
      </c>
      <c r="F12" s="14">
        <f>-E30/20</f>
        <v>-90.6245375</v>
      </c>
    </row>
    <row r="13" ht="20.05" customHeight="1">
      <c r="B13" t="s" s="51">
        <v>35</v>
      </c>
      <c r="C13" s="53">
        <f>IF(C23&gt;0,-C23*0.1,0)</f>
        <v>-19.693183112394</v>
      </c>
      <c r="D13" s="14">
        <f>IF(D23&gt;0,-D23*0.1,0)</f>
        <v>-18.074910294526</v>
      </c>
      <c r="E13" s="14">
        <f>IF(E23&gt;0,-E23*0.1,0)</f>
        <v>-18.504908500417</v>
      </c>
      <c r="F13" s="14">
        <f>IF(F23&gt;0,-F23*0.1,0)</f>
        <v>-19.382104840433</v>
      </c>
    </row>
    <row r="14" ht="32.05" customHeight="1">
      <c r="B14" t="s" s="51">
        <v>71</v>
      </c>
      <c r="C14" s="53">
        <f>C9+C10+C12+C13</f>
        <v>-50.544685321787</v>
      </c>
      <c r="D14" s="14">
        <f>D9+D10+D12+D13</f>
        <v>-59.824140682599</v>
      </c>
      <c r="E14" s="14">
        <f>E9+E10+E12+E13</f>
        <v>-50.933406829580</v>
      </c>
      <c r="F14" s="14">
        <f>F9+F10+F12+F13</f>
        <v>-38.268927269436</v>
      </c>
    </row>
    <row r="15" ht="20.05" customHeight="1">
      <c r="B15" t="s" s="51">
        <v>72</v>
      </c>
      <c r="C15" s="53">
        <f>-MIN(0,C14)</f>
        <v>50.544685321787</v>
      </c>
      <c r="D15" s="14">
        <f>-MIN(C31,D14)</f>
        <v>59.824140682599</v>
      </c>
      <c r="E15" s="14">
        <f>-MIN(D31,E14)</f>
        <v>50.933406829580</v>
      </c>
      <c r="F15" s="14">
        <f>-MIN(E31,F14)</f>
        <v>38.268927269436</v>
      </c>
    </row>
    <row r="16" ht="20.05" customHeight="1">
      <c r="B16" t="s" s="51">
        <v>73</v>
      </c>
      <c r="C16" s="53">
        <f>'Balance sheet - Assets'!B29</f>
        <v>251</v>
      </c>
      <c r="D16" s="14">
        <f>C18</f>
        <v>251</v>
      </c>
      <c r="E16" s="14">
        <f>D18</f>
        <v>251</v>
      </c>
      <c r="F16" s="14">
        <f>E18</f>
        <v>251</v>
      </c>
    </row>
    <row r="17" ht="20.05" customHeight="1">
      <c r="B17" t="s" s="51">
        <v>74</v>
      </c>
      <c r="C17" s="53">
        <f>C9+C10+C11</f>
        <v>0</v>
      </c>
      <c r="D17" s="14">
        <f>D9+D10+D11</f>
        <v>0</v>
      </c>
      <c r="E17" s="14">
        <f>E9+E10+E11</f>
        <v>0</v>
      </c>
      <c r="F17" s="14">
        <f>F9+F10+F11</f>
        <v>0</v>
      </c>
    </row>
    <row r="18" ht="20.05" customHeight="1">
      <c r="B18" t="s" s="51">
        <v>75</v>
      </c>
      <c r="C18" s="53">
        <f>C16+C17</f>
        <v>251</v>
      </c>
      <c r="D18" s="14">
        <f>D16+D17</f>
        <v>251</v>
      </c>
      <c r="E18" s="14">
        <f>E16+E17</f>
        <v>251</v>
      </c>
      <c r="F18" s="14">
        <f>F16+F17</f>
        <v>251</v>
      </c>
    </row>
    <row r="19" ht="20.05" customHeight="1">
      <c r="B19" t="s" s="55">
        <v>76</v>
      </c>
      <c r="C19" s="27"/>
      <c r="D19" s="14">
        <f>SUM(C13:F13)</f>
        <v>-75.65510674777001</v>
      </c>
      <c r="E19" s="14">
        <f>SUM('Profit  - Quarterly profit'!F23:F26)</f>
        <v>32501.9</v>
      </c>
      <c r="F19" s="14">
        <f>SUM(C20:F20)</f>
        <v>37020.337636568</v>
      </c>
    </row>
    <row r="20" ht="20.05" customHeight="1">
      <c r="B20" t="s" s="51">
        <v>77</v>
      </c>
      <c r="C20" s="53">
        <f>C6</f>
        <v>9577.996999999999</v>
      </c>
      <c r="D20" s="14">
        <f>D6</f>
        <v>8907.53721</v>
      </c>
      <c r="E20" s="14">
        <f>E6</f>
        <v>9085.687954200001</v>
      </c>
      <c r="F20" s="14">
        <f>F6</f>
        <v>9449.115472367999</v>
      </c>
    </row>
    <row r="21" ht="20.05" customHeight="1">
      <c r="B21" t="s" s="51">
        <v>66</v>
      </c>
      <c r="C21" s="53">
        <f>C8</f>
        <v>-9346.815168876061</v>
      </c>
      <c r="D21" s="14">
        <f>D8</f>
        <v>-8692.538107054739</v>
      </c>
      <c r="E21" s="14">
        <f>E8</f>
        <v>-8866.388869195829</v>
      </c>
      <c r="F21" s="14">
        <f>F8</f>
        <v>-9221.044423963671</v>
      </c>
    </row>
    <row r="22" ht="20.05" customHeight="1">
      <c r="B22" t="s" s="51">
        <v>46</v>
      </c>
      <c r="C22" s="53">
        <f>-AVERAGE('Profit  - Quarterly profit'!H23:H26)</f>
        <v>-34.25</v>
      </c>
      <c r="D22" s="14">
        <f>C22</f>
        <v>-34.25</v>
      </c>
      <c r="E22" s="14">
        <f>D22</f>
        <v>-34.25</v>
      </c>
      <c r="F22" s="14">
        <f>E22</f>
        <v>-34.25</v>
      </c>
    </row>
    <row r="23" ht="20.05" customHeight="1">
      <c r="B23" t="s" s="51">
        <v>47</v>
      </c>
      <c r="C23" s="53">
        <f>SUM(C20:C22)</f>
        <v>196.931831123940</v>
      </c>
      <c r="D23" s="14">
        <f>SUM(D20:D22)</f>
        <v>180.749102945260</v>
      </c>
      <c r="E23" s="14">
        <f>SUM(E20:E22)</f>
        <v>185.049085004170</v>
      </c>
      <c r="F23" s="14">
        <f>SUM(F20:F22)</f>
        <v>193.821048404330</v>
      </c>
    </row>
    <row r="24" ht="20.05" customHeight="1">
      <c r="B24" t="s" s="56">
        <v>17</v>
      </c>
      <c r="C24" s="27"/>
      <c r="D24" s="17"/>
      <c r="E24" s="14">
        <f>SUM('Profit  - Quarterly profit'!I23:I26)</f>
        <v>478.583</v>
      </c>
      <c r="F24" s="14">
        <f>SUM(C23:F23)</f>
        <v>756.5510674777</v>
      </c>
    </row>
    <row r="25" ht="20.05" customHeight="1">
      <c r="B25" t="s" s="51">
        <v>21</v>
      </c>
      <c r="C25" s="53">
        <f>C18</f>
        <v>251</v>
      </c>
      <c r="D25" s="14">
        <f>D18</f>
        <v>251</v>
      </c>
      <c r="E25" s="14">
        <f>E18</f>
        <v>251</v>
      </c>
      <c r="F25" s="14">
        <f>F18</f>
        <v>251</v>
      </c>
    </row>
    <row r="26" ht="20.05" customHeight="1">
      <c r="B26" t="s" s="51">
        <v>78</v>
      </c>
      <c r="C26" s="53">
        <f>'Balance sheet - Assets'!D29</f>
        <v>6159</v>
      </c>
      <c r="D26" s="14">
        <f>C26</f>
        <v>6159</v>
      </c>
      <c r="E26" s="14">
        <f>D26</f>
        <v>6159</v>
      </c>
      <c r="F26" s="14">
        <f>E26</f>
        <v>6159</v>
      </c>
    </row>
    <row r="27" ht="20.05" customHeight="1">
      <c r="B27" t="s" s="51">
        <v>24</v>
      </c>
      <c r="C27" s="53">
        <f>'Balance sheet - Assets'!E29+'Balance sheet - Assets'!F29-C10</f>
        <v>4084.333333333330</v>
      </c>
      <c r="D27" s="14">
        <f>C27-D10</f>
        <v>4240.666666666660</v>
      </c>
      <c r="E27" s="14">
        <f>D27-E10</f>
        <v>4396.999999999990</v>
      </c>
      <c r="F27" s="14">
        <f>E27-F10</f>
        <v>4553.333333333320</v>
      </c>
    </row>
    <row r="28" ht="20.05" customHeight="1">
      <c r="B28" t="s" s="51">
        <v>46</v>
      </c>
      <c r="C28" s="53">
        <f>'Balance sheet - Assets'!F29-C22</f>
        <v>583.25</v>
      </c>
      <c r="D28" s="14">
        <f>C28-D22</f>
        <v>617.5</v>
      </c>
      <c r="E28" s="14">
        <f>D28-E22</f>
        <v>651.75</v>
      </c>
      <c r="F28" s="14">
        <f>E28-F22</f>
        <v>686</v>
      </c>
    </row>
    <row r="29" ht="20.05" customHeight="1">
      <c r="B29" t="s" s="51">
        <v>79</v>
      </c>
      <c r="C29" s="53">
        <f>C27-C28</f>
        <v>3501.083333333330</v>
      </c>
      <c r="D29" s="14">
        <f>D27-D28</f>
        <v>3623.166666666660</v>
      </c>
      <c r="E29" s="14">
        <f>E27-E28</f>
        <v>3745.249999999990</v>
      </c>
      <c r="F29" s="14">
        <f>F27-F28</f>
        <v>3867.333333333320</v>
      </c>
    </row>
    <row r="30" ht="20.05" customHeight="1">
      <c r="B30" t="s" s="51">
        <v>70</v>
      </c>
      <c r="C30" s="53">
        <f>'Balance sheet - Liabilities'!B29+'Balance sheet - Liabilities'!C29+C12</f>
        <v>2008.3</v>
      </c>
      <c r="D30" s="14">
        <f>C30+D12</f>
        <v>1907.885</v>
      </c>
      <c r="E30" s="14">
        <f>D30+E12</f>
        <v>1812.49075</v>
      </c>
      <c r="F30" s="14">
        <f>E30+F12</f>
        <v>1721.8662125</v>
      </c>
    </row>
    <row r="31" ht="20.05" customHeight="1">
      <c r="B31" t="s" s="51">
        <v>80</v>
      </c>
      <c r="C31" s="53">
        <f>C15</f>
        <v>50.544685321787</v>
      </c>
      <c r="D31" s="14">
        <f>C31+D15</f>
        <v>110.368826004386</v>
      </c>
      <c r="E31" s="14">
        <f>D31+E15</f>
        <v>161.302232833966</v>
      </c>
      <c r="F31" s="14">
        <f>E31+F15</f>
        <v>199.571160103402</v>
      </c>
    </row>
    <row r="32" ht="20.05" customHeight="1">
      <c r="B32" t="s" s="51">
        <v>81</v>
      </c>
      <c r="C32" s="53">
        <f>C30+C31</f>
        <v>2058.844685321790</v>
      </c>
      <c r="D32" s="14">
        <f>D30+D31</f>
        <v>2018.253826004390</v>
      </c>
      <c r="E32" s="14">
        <f>E30+E31</f>
        <v>1973.792982833970</v>
      </c>
      <c r="F32" s="14">
        <f>F30+F31</f>
        <v>1921.4373726034</v>
      </c>
    </row>
    <row r="33" ht="20.05" customHeight="1">
      <c r="B33" t="s" s="51">
        <v>82</v>
      </c>
      <c r="C33" s="53">
        <f>'Balance sheet - Liabilities'!F29+'Balance sheet - Liabilities'!G29</f>
        <v>2297</v>
      </c>
      <c r="D33" s="14">
        <f>C33</f>
        <v>2297</v>
      </c>
      <c r="E33" s="14">
        <f>D33</f>
        <v>2297</v>
      </c>
      <c r="F33" s="14">
        <f>E33</f>
        <v>2297</v>
      </c>
    </row>
    <row r="34" ht="20.05" customHeight="1">
      <c r="B34" t="s" s="51">
        <v>83</v>
      </c>
      <c r="C34" s="53">
        <f>'Balance sheet - Liabilities'!H29+C23+C13</f>
        <v>5554.238648011550</v>
      </c>
      <c r="D34" s="14">
        <f>C34+D23+D13</f>
        <v>5716.912840662280</v>
      </c>
      <c r="E34" s="14">
        <f>D34+E23+E13</f>
        <v>5883.457017166030</v>
      </c>
      <c r="F34" s="14">
        <f>E34+F23+F13</f>
        <v>6057.895960729930</v>
      </c>
    </row>
    <row r="35" ht="20.05" customHeight="1">
      <c r="B35" t="s" s="51">
        <v>36</v>
      </c>
      <c r="C35" s="53">
        <f>C32+C33+C34-C25-C26-C29</f>
        <v>-0.999999999990</v>
      </c>
      <c r="D35" s="14">
        <f>D32+D33+D34-D25-D26-D29</f>
        <v>-0.999999999990</v>
      </c>
      <c r="E35" s="14">
        <f>E32+E33+E34-E25-E26-E29</f>
        <v>-0.999999999990</v>
      </c>
      <c r="F35" s="14">
        <f>F32+F33+F34-F25-F26-F29</f>
        <v>-0.999999999990</v>
      </c>
    </row>
  </sheetData>
  <mergeCells count="1">
    <mergeCell ref="B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dimension ref="B3:D18"/>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4.75781" style="57" customWidth="1"/>
    <col min="2" max="2" width="13.9141" style="57" customWidth="1"/>
    <col min="3" max="4" width="7.85938" style="57" customWidth="1"/>
    <col min="5" max="16384" width="16.3516" style="57" customWidth="1"/>
  </cols>
  <sheetData>
    <row r="1" ht="18.5" customHeight="1"/>
    <row r="2" ht="27.65" customHeight="1">
      <c r="B2" t="s" s="7">
        <v>85</v>
      </c>
      <c r="C2" s="7"/>
      <c r="D2" s="7"/>
    </row>
    <row r="3" ht="20.25" customHeight="1">
      <c r="B3" s="45"/>
      <c r="C3" s="45"/>
      <c r="D3" s="45"/>
    </row>
    <row r="4" ht="20.25" customHeight="1">
      <c r="B4" t="s" s="58">
        <v>14</v>
      </c>
      <c r="C4" s="59">
        <f>SUM('Model - Financial model'!C9:E10)</f>
        <v>196.480019073371</v>
      </c>
      <c r="D4" s="60">
        <f>SUM('Model - Financial model'!C9:F10)</f>
        <v>268.217734144368</v>
      </c>
    </row>
    <row r="5" ht="20.05" customHeight="1">
      <c r="B5" t="s" s="51">
        <v>84</v>
      </c>
      <c r="C5" s="61">
        <v>0.016</v>
      </c>
      <c r="D5" s="62">
        <v>0.016</v>
      </c>
    </row>
    <row r="6" ht="20.05" customHeight="1">
      <c r="B6" t="s" s="51">
        <v>87</v>
      </c>
      <c r="C6" s="63">
        <f>C4/C5</f>
        <v>12280.0011920857</v>
      </c>
      <c r="D6" s="64">
        <f>D4/D5</f>
        <v>16763.608384023</v>
      </c>
    </row>
    <row r="7" ht="20.05" customHeight="1">
      <c r="B7" t="s" s="51">
        <v>88</v>
      </c>
      <c r="C7" s="26">
        <v>0.55</v>
      </c>
      <c r="D7" s="15">
        <v>0.4</v>
      </c>
    </row>
    <row r="8" ht="20.05" customHeight="1">
      <c r="B8" t="s" s="51">
        <v>89</v>
      </c>
      <c r="C8" s="63">
        <f>C6*C7</f>
        <v>6754.000655647140</v>
      </c>
      <c r="D8" s="64">
        <f>D6*D7</f>
        <v>6705.4433536092</v>
      </c>
    </row>
    <row r="9" ht="20.05" customHeight="1">
      <c r="B9" t="s" s="51">
        <v>90</v>
      </c>
      <c r="C9" s="65">
        <f t="shared" si="6" ref="C9:D9">4849/1525</f>
        <v>3.17967213114754</v>
      </c>
      <c r="D9" s="66">
        <f t="shared" si="6"/>
        <v>3.17967213114754</v>
      </c>
    </row>
    <row r="10" ht="20.05" customHeight="1">
      <c r="B10" t="s" s="51">
        <v>91</v>
      </c>
      <c r="C10" s="23">
        <f>C8/C9</f>
        <v>2124.118581122270</v>
      </c>
      <c r="D10" s="24">
        <f>D8/D9</f>
        <v>2108.847414777070</v>
      </c>
    </row>
    <row r="11" ht="20.05" customHeight="1">
      <c r="B11" t="s" s="51">
        <v>92</v>
      </c>
      <c r="C11" s="27"/>
      <c r="D11" s="24">
        <f>D9*'Share price  - Monthly share pr'!D86</f>
        <v>5643.918032786880</v>
      </c>
    </row>
    <row r="12" ht="20.05" customHeight="1">
      <c r="B12" t="s" s="51">
        <v>93</v>
      </c>
      <c r="C12" s="27"/>
      <c r="D12" s="67">
        <f>D11/'Model - Financial model'!F19</f>
        <v>0.15245452616326</v>
      </c>
    </row>
    <row r="13" ht="20.05" customHeight="1">
      <c r="B13" t="s" s="51">
        <v>94</v>
      </c>
      <c r="C13" s="27"/>
      <c r="D13" s="67">
        <f>D11/('Model - Financial model'!F25+'Model - Financial model'!F26+'Model - Financial model'!F29)</f>
        <v>0.549161718291407</v>
      </c>
    </row>
    <row r="14" ht="20.05" customHeight="1">
      <c r="B14" t="s" s="51">
        <v>95</v>
      </c>
      <c r="C14" s="27"/>
      <c r="D14" s="67">
        <f>D11/'Model - Financial model'!F34</f>
        <v>0.931663083911205</v>
      </c>
    </row>
    <row r="15" ht="20.05" customHeight="1">
      <c r="B15" t="s" s="51">
        <v>96</v>
      </c>
      <c r="C15" s="27"/>
      <c r="D15" s="68">
        <f>'Model - Financial model'!F24/'Model - Financial model'!F34</f>
        <v>0.124886771311692</v>
      </c>
    </row>
    <row r="16" ht="20.05" customHeight="1">
      <c r="B16" t="s" s="51">
        <v>97</v>
      </c>
      <c r="C16" s="27"/>
      <c r="D16" s="38">
        <f>'Model - Financial model'!F19/'Model - Financial model'!E19-1</f>
        <v>0.139020722990594</v>
      </c>
    </row>
    <row r="17" ht="20.05" customHeight="1">
      <c r="B17" t="s" s="51">
        <v>98</v>
      </c>
      <c r="C17" s="27"/>
      <c r="D17" s="38">
        <f>'Model - Financial model'!F24/'Model - Financial model'!E24-1</f>
        <v>0.580814754133975</v>
      </c>
    </row>
    <row r="18" ht="20.05" customHeight="1">
      <c r="B18" t="s" s="51">
        <v>99</v>
      </c>
      <c r="C18" s="27"/>
      <c r="D18" s="68">
        <f>-('Model - Financial model'!C13+'Model - Financial model'!D13+'Model - Financial model'!E13+'Model - Financial model'!F13)/D11</f>
        <v>0.0134047139430926</v>
      </c>
    </row>
  </sheetData>
  <mergeCells count="1">
    <mergeCell ref="B2:D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