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<sst xmlns="http://schemas.openxmlformats.org/spreadsheetml/2006/main" uniqueCount="61">
  <si>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</si>
  <si>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</si>
  <si>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</si>
  <si>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 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</si>
  <si>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</si>
  <si>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</si>
  <si>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</si>
  <si>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</si>
  <si>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</si>
  <si>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</si>
  <si>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</si>
  <si>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</si>
  <si>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Revolver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</si>
  <si>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</si>
  <si>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</si>
  <si>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</si>
  <si>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</si>
  <si>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</si>
  <si>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</si>
  <si>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</si>
  <si>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</si>
  <si>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</si>
  <si>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</si>
  <si>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</si>
  <si>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</si>
  <si>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</si>
  <si>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Revolver </t>
  </si>
  <si>
    <t>Equity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</si>
  <si>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</si>
  <si>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</si>
  <si>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</si>
  <si>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</si>
  <si>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</si>
  <si>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</si>
  <si>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</si>
  <si>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</si>
  <si>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</si>
  <si>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</si>
  <si>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</si>
  <si>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</si>
  <si>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</si>
  <si>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</si>
  <si>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</si>
  <si>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</si>
  <si>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</si>
  <si>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</t>
  </si>
  <si>
    <t xml:space="preserve">Sales growth </t>
  </si>
  <si>
    <t>Rp bn</t>
  </si>
  <si>
    <t xml:space="preserve">Receipts </t>
  </si>
  <si>
    <t xml:space="preserve">Suppliers </t>
  </si>
  <si>
    <t>Leases</t>
  </si>
  <si>
    <t>Free cashflow</t>
  </si>
  <si>
    <t>Cash</t>
  </si>
  <si>
    <t>Assets</t>
  </si>
  <si>
    <t xml:space="preserve">Other assets </t>
  </si>
  <si>
    <t>Depreciation</t>
  </si>
  <si>
    <t>Net cash</t>
  </si>
  <si>
    <t>Monthly share price</t>
  </si>
  <si>
    <t>ERAA</t>
  </si>
  <si>
    <t>Capital</t>
  </si>
  <si>
    <t xml:space="preserve">Total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</si>
</sst>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0_);[Red]\(0\)"/>
    <numFmt numFmtId="62" formatCode="#,##0%_);[Red]\(#,##0%\)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8" fontId="0" borderId="8" applyNumberFormat="1" applyFont="1" applyFill="0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9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9177"/>
          <c:y val="0.12368"/>
          <c:w val="0.814513"/>
          <c:h val="0.810337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226516"/>
          <c:y val="0"/>
          <c:w val="0.934517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1758"/>
          <c:y val="0.0446026"/>
          <c:w val="0.81780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'!$F$4:$F$16</c:f>
              <c:numCache>
                <c:ptCount val="13"/>
                <c:pt idx="0">
                  <c:v>75.000000</c:v>
                </c:pt>
                <c:pt idx="1">
                  <c:v>-69.000000</c:v>
                </c:pt>
                <c:pt idx="2">
                  <c:v>102.000000</c:v>
                </c:pt>
                <c:pt idx="3">
                  <c:v>527.000000</c:v>
                </c:pt>
                <c:pt idx="4">
                  <c:v>1095.000000</c:v>
                </c:pt>
                <c:pt idx="5">
                  <c:v>801.000000</c:v>
                </c:pt>
                <c:pt idx="6">
                  <c:v>21.000000</c:v>
                </c:pt>
                <c:pt idx="7">
                  <c:v>593.000000</c:v>
                </c:pt>
                <c:pt idx="8">
                  <c:v>3006.000000</c:v>
                </c:pt>
                <c:pt idx="9">
                  <c:v>1310.000000</c:v>
                </c:pt>
                <c:pt idx="10">
                  <c:v>224.000000</c:v>
                </c:pt>
                <c:pt idx="11">
                  <c:v>901.881000</c:v>
                </c:pt>
                <c:pt idx="12">
                  <c:v>1339.506000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'!$G$4:$G$16</c:f>
              <c:numCache>
                <c:ptCount val="13"/>
                <c:pt idx="0">
                  <c:v>-50.000000</c:v>
                </c:pt>
                <c:pt idx="1">
                  <c:v>828.000000</c:v>
                </c:pt>
                <c:pt idx="2">
                  <c:v>828.000000</c:v>
                </c:pt>
                <c:pt idx="3">
                  <c:v>654.000000</c:v>
                </c:pt>
                <c:pt idx="4">
                  <c:v>683.000000</c:v>
                </c:pt>
                <c:pt idx="5">
                  <c:v>638.000000</c:v>
                </c:pt>
                <c:pt idx="6">
                  <c:v>580.000000</c:v>
                </c:pt>
                <c:pt idx="7">
                  <c:v>528.000000</c:v>
                </c:pt>
                <c:pt idx="8">
                  <c:v>708.000000</c:v>
                </c:pt>
                <c:pt idx="9">
                  <c:v>526.000000</c:v>
                </c:pt>
                <c:pt idx="10">
                  <c:v>502.000000</c:v>
                </c:pt>
                <c:pt idx="11">
                  <c:v>160.100000</c:v>
                </c:pt>
                <c:pt idx="12">
                  <c:v>160.102000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'Capital '!$H$4:$H$16</c:f>
              <c:numCache>
                <c:ptCount val="13"/>
                <c:pt idx="0">
                  <c:v>25.000000</c:v>
                </c:pt>
                <c:pt idx="1">
                  <c:v>759.000000</c:v>
                </c:pt>
                <c:pt idx="2">
                  <c:v>756.000000</c:v>
                </c:pt>
                <c:pt idx="3">
                  <c:v>1007.000000</c:v>
                </c:pt>
                <c:pt idx="4">
                  <c:v>1604.000000</c:v>
                </c:pt>
                <c:pt idx="5">
                  <c:v>1265.000000</c:v>
                </c:pt>
                <c:pt idx="6">
                  <c:v>427.000000</c:v>
                </c:pt>
                <c:pt idx="7">
                  <c:v>947.000000</c:v>
                </c:pt>
                <c:pt idx="8">
                  <c:v>3540.000000</c:v>
                </c:pt>
                <c:pt idx="9">
                  <c:v>1662.000000</c:v>
                </c:pt>
                <c:pt idx="10">
                  <c:v>552.000000</c:v>
                </c:pt>
                <c:pt idx="11">
                  <c:v>887.981000</c:v>
                </c:pt>
                <c:pt idx="12">
                  <c:v>1325.608000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50"/>
        <c:minorUnit val="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1141"/>
          <c:y val="0.0709394"/>
          <c:w val="0.335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453238</xdr:colOff>
      <xdr:row>2</xdr:row>
      <xdr:rowOff>18985</xdr:rowOff>
    </xdr:from>
    <xdr:to>
      <xdr:col>13</xdr:col>
      <xdr:colOff>160531</xdr:colOff>
      <xdr:row>48</xdr:row>
      <xdr:rowOff>145676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44238" y="724470"/>
          <a:ext cx="8419494" cy="118449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19</xdr:col>
      <xdr:colOff>1203695</xdr:colOff>
      <xdr:row>20</xdr:row>
      <xdr:rowOff>165307</xdr:rowOff>
    </xdr:from>
    <xdr:to>
      <xdr:col>22</xdr:col>
      <xdr:colOff>71003</xdr:colOff>
      <xdr:row>35</xdr:row>
      <xdr:rowOff>161496</xdr:rowOff>
    </xdr:to>
    <xdr:graphicFrame>
      <xdr:nvGraphicFramePr>
        <xdr:cNvPr id="4" name="2D Line Chart"/>
        <xdr:cNvGraphicFramePr/>
      </xdr:nvGraphicFramePr>
      <xdr:xfrm>
        <a:off x="19250395" y="5512007"/>
        <a:ext cx="2601109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281750</xdr:colOff>
      <xdr:row>23</xdr:row>
      <xdr:rowOff>24296</xdr:rowOff>
    </xdr:from>
    <xdr:to>
      <xdr:col>6</xdr:col>
      <xdr:colOff>19558</xdr:colOff>
      <xdr:row>36</xdr:row>
      <xdr:rowOff>75922</xdr:rowOff>
    </xdr:to>
    <xdr:graphicFrame>
      <xdr:nvGraphicFramePr>
        <xdr:cNvPr id="6" name="2D Line Chart"/>
        <xdr:cNvGraphicFramePr/>
      </xdr:nvGraphicFramePr>
      <xdr:xfrm>
        <a:off x="1666050" y="5825656"/>
        <a:ext cx="3649409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632846</xdr:colOff>
      <xdr:row>17</xdr:row>
      <xdr:rowOff>239896</xdr:rowOff>
    </xdr:from>
    <xdr:to>
      <xdr:col>6</xdr:col>
      <xdr:colOff>731654</xdr:colOff>
      <xdr:row>23</xdr:row>
      <xdr:rowOff>144218</xdr:rowOff>
    </xdr:to>
    <xdr:sp>
      <xdr:nvSpPr>
        <xdr:cNvPr id="7" name="ERAA CAPITAL UP DOWN UP DOWN UP TO 1 TRILLION RUPIAH…"/>
        <xdr:cNvSpPr txBox="1"/>
      </xdr:nvSpPr>
      <xdr:spPr>
        <a:xfrm>
          <a:off x="1039246" y="4524876"/>
          <a:ext cx="4988309" cy="14207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ERAA CAPITAL UP DOWN UP DOWN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UP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TO 1 TRILLION RUPIAH…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53906" style="1" customWidth="1"/>
    <col min="2" max="2" width="14.7656" style="1" customWidth="1"/>
    <col min="3" max="6" width="9.21875" style="1" customWidth="1"/>
    <col min="7" max="16384" width="16.3516" style="1" customWidth="1"/>
  </cols>
  <sheetData>
    <row r="1" ht="27.9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0.0221650038727131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0.02</v>
      </c>
      <c r="D5" s="12">
        <v>0.03</v>
      </c>
      <c r="E5" s="12">
        <v>0.1</v>
      </c>
      <c r="F5" s="12">
        <v>-0.05</v>
      </c>
    </row>
    <row r="6" ht="20.05" customHeight="1">
      <c r="B6" t="s" s="10">
        <v>5</v>
      </c>
      <c r="C6" s="13">
        <f>'Sales'!C32*(1+C5)</f>
        <v>11709.294</v>
      </c>
      <c r="D6" s="14">
        <f>C6*(1+D5)</f>
        <v>12060.57282</v>
      </c>
      <c r="E6" s="14">
        <f>D6*(1+E5)</f>
        <v>13266.630102</v>
      </c>
      <c r="F6" s="14">
        <f>E6*(1+F5)</f>
        <v>12603.2985969</v>
      </c>
    </row>
    <row r="7" ht="20.05" customHeight="1">
      <c r="B7" t="s" s="10">
        <v>6</v>
      </c>
      <c r="C7" s="15">
        <f>AVERAGE('Sales'!I32)</f>
        <v>-0.962896809068827</v>
      </c>
      <c r="D7" s="16">
        <f>C7</f>
        <v>-0.962896809068827</v>
      </c>
      <c r="E7" s="16">
        <f>D7</f>
        <v>-0.962896809068827</v>
      </c>
      <c r="F7" s="16">
        <f>E7</f>
        <v>-0.962896809068827</v>
      </c>
    </row>
    <row r="8" ht="20.05" customHeight="1">
      <c r="B8" t="s" s="10">
        <v>7</v>
      </c>
      <c r="C8" s="17">
        <f>C6*C7</f>
        <v>-11274.8418290488</v>
      </c>
      <c r="D8" s="18">
        <f>D6*D7</f>
        <v>-11613.0870839202</v>
      </c>
      <c r="E8" s="18">
        <f>E6*E7</f>
        <v>-12774.3957923122</v>
      </c>
      <c r="F8" s="18">
        <f>F6*F7</f>
        <v>-12135.6760026966</v>
      </c>
    </row>
    <row r="9" ht="20.05" customHeight="1">
      <c r="B9" t="s" s="10">
        <v>8</v>
      </c>
      <c r="C9" s="17">
        <f>C6+C8</f>
        <v>434.4521709512</v>
      </c>
      <c r="D9" s="18">
        <f>D6+D8</f>
        <v>447.4857360798</v>
      </c>
      <c r="E9" s="18">
        <f>E6+E8</f>
        <v>492.2343096878</v>
      </c>
      <c r="F9" s="18">
        <f>F6+F8</f>
        <v>467.6225942034</v>
      </c>
    </row>
    <row r="10" ht="20.05" customHeight="1">
      <c r="B10" t="s" s="10">
        <v>9</v>
      </c>
      <c r="C10" s="17">
        <f>AVERAGE('Cashflow'!G32)</f>
        <v>-218</v>
      </c>
      <c r="D10" s="18">
        <f>C10</f>
        <v>-218</v>
      </c>
      <c r="E10" s="18">
        <f>D10</f>
        <v>-218</v>
      </c>
      <c r="F10" s="18">
        <f>E10</f>
        <v>-218</v>
      </c>
    </row>
    <row r="11" ht="20.05" customHeight="1">
      <c r="B11" t="s" s="10">
        <v>10</v>
      </c>
      <c r="C11" s="17">
        <f>C12+C15+C13</f>
        <v>-216.4521709512</v>
      </c>
      <c r="D11" s="18">
        <f>D12+D15+D13</f>
        <v>-229.4857360798</v>
      </c>
      <c r="E11" s="18">
        <f>E12+E15+E13</f>
        <v>-274.2343096878</v>
      </c>
      <c r="F11" s="18">
        <f>F12+F15+F13</f>
        <v>-249.6225942034</v>
      </c>
    </row>
    <row r="12" ht="20.05" customHeight="1">
      <c r="B12" t="s" s="10">
        <v>11</v>
      </c>
      <c r="C12" s="17">
        <f>-('Balance sheet'!F31)/20</f>
        <v>-371.85</v>
      </c>
      <c r="D12" s="18">
        <f>-C27/20</f>
        <v>-353.2575</v>
      </c>
      <c r="E12" s="18">
        <f>-D27/20</f>
        <v>-335.594625</v>
      </c>
      <c r="F12" s="18">
        <f>-E27/20</f>
        <v>-318.81489375</v>
      </c>
    </row>
    <row r="13" ht="20.05" customHeight="1">
      <c r="B13" t="s" s="10">
        <v>12</v>
      </c>
      <c r="C13" s="17">
        <f>-MIN(0,C16)</f>
        <v>155.3978290488</v>
      </c>
      <c r="D13" s="18">
        <f>-MIN(C28,D16)</f>
        <v>123.7717639202</v>
      </c>
      <c r="E13" s="18">
        <f>-MIN(D28,E16)</f>
        <v>61.3603153122</v>
      </c>
      <c r="F13" s="18">
        <f>-MIN(E28,F16)</f>
        <v>69.1922995466</v>
      </c>
    </row>
    <row r="14" ht="20.05" customHeight="1">
      <c r="B14" t="s" s="10">
        <v>13</v>
      </c>
      <c r="C14" s="19">
        <v>0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0</v>
      </c>
      <c r="D15" s="18">
        <f>IF(D22&gt;0,-D22*$C$14,0)</f>
        <v>0</v>
      </c>
      <c r="E15" s="18">
        <f>IF(E22&gt;0,-E22*$C$14,0)</f>
        <v>0</v>
      </c>
      <c r="F15" s="18">
        <f>IF(F22&gt;0,-F22*$C$14,0)</f>
        <v>0</v>
      </c>
    </row>
    <row r="16" ht="20.05" customHeight="1">
      <c r="B16" t="s" s="10">
        <v>15</v>
      </c>
      <c r="C16" s="17">
        <f>C9+C10+C12+C15</f>
        <v>-155.3978290488</v>
      </c>
      <c r="D16" s="18">
        <f>D9+D10+D12+D15</f>
        <v>-123.7717639202</v>
      </c>
      <c r="E16" s="18">
        <f>E9+E10+E12+E15</f>
        <v>-61.3603153122</v>
      </c>
      <c r="F16" s="18">
        <f>F9+F10+F12+F15</f>
        <v>-69.1922995466</v>
      </c>
    </row>
    <row r="17" ht="20.05" customHeight="1">
      <c r="B17" t="s" s="10">
        <v>16</v>
      </c>
      <c r="C17" s="17">
        <f>'Balance sheet'!B31</f>
        <v>425</v>
      </c>
      <c r="D17" s="18">
        <f>C19</f>
        <v>425</v>
      </c>
      <c r="E17" s="18">
        <f>D19</f>
        <v>425</v>
      </c>
      <c r="F17" s="18">
        <f>E19</f>
        <v>425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425</v>
      </c>
      <c r="D19" s="18">
        <f>D17+D18</f>
        <v>425</v>
      </c>
      <c r="E19" s="18">
        <f>E17+E18</f>
        <v>425</v>
      </c>
      <c r="F19" s="18">
        <f>F17+F18</f>
        <v>425</v>
      </c>
    </row>
    <row r="20" ht="20.05" customHeight="1">
      <c r="B20" t="s" s="20">
        <v>19</v>
      </c>
      <c r="C20" s="21"/>
      <c r="D20" s="22"/>
      <c r="E20" s="22"/>
      <c r="F20" s="23"/>
    </row>
    <row r="21" ht="20.05" customHeight="1">
      <c r="B21" t="s" s="10">
        <v>20</v>
      </c>
      <c r="C21" s="17">
        <f>-AVERAGE('Sales'!E32)</f>
        <v>-160.4</v>
      </c>
      <c r="D21" s="18">
        <f>C21</f>
        <v>-160.4</v>
      </c>
      <c r="E21" s="18">
        <f>D21</f>
        <v>-160.4</v>
      </c>
      <c r="F21" s="18">
        <f>E21</f>
        <v>-160.4</v>
      </c>
    </row>
    <row r="22" ht="20.05" customHeight="1">
      <c r="B22" t="s" s="10">
        <v>21</v>
      </c>
      <c r="C22" s="17">
        <f>C6+C8+C21</f>
        <v>274.0521709512</v>
      </c>
      <c r="D22" s="18">
        <f>D6+D8+D21</f>
        <v>287.0857360798</v>
      </c>
      <c r="E22" s="18">
        <f>E6+E8+E21</f>
        <v>331.8343096878</v>
      </c>
      <c r="F22" s="18">
        <f>F6+F8+F21</f>
        <v>307.2225942034</v>
      </c>
    </row>
    <row r="23" ht="20.05" customHeight="1">
      <c r="B23" t="s" s="20">
        <v>22</v>
      </c>
      <c r="C23" s="21"/>
      <c r="D23" s="22"/>
      <c r="E23" s="22"/>
      <c r="F23" s="22"/>
    </row>
    <row r="24" ht="20.05" customHeight="1">
      <c r="B24" t="s" s="10">
        <v>23</v>
      </c>
      <c r="C24" s="17">
        <f>'Balance sheet'!D31+'Balance sheet'!E31-C10</f>
        <v>14727</v>
      </c>
      <c r="D24" s="18">
        <f>C24-D10</f>
        <v>14945</v>
      </c>
      <c r="E24" s="18">
        <f>D24-E10</f>
        <v>15163</v>
      </c>
      <c r="F24" s="18">
        <f>E24-F10</f>
        <v>15381</v>
      </c>
    </row>
    <row r="25" ht="20.05" customHeight="1">
      <c r="B25" t="s" s="10">
        <v>24</v>
      </c>
      <c r="C25" s="17">
        <f>'Balance sheet'!E31-C21</f>
        <v>882.4</v>
      </c>
      <c r="D25" s="18">
        <f>C25-D21</f>
        <v>1042.8</v>
      </c>
      <c r="E25" s="18">
        <f>D25-E21</f>
        <v>1203.2</v>
      </c>
      <c r="F25" s="18">
        <f>E25-F21</f>
        <v>1363.6</v>
      </c>
    </row>
    <row r="26" ht="20.05" customHeight="1">
      <c r="B26" t="s" s="10">
        <v>25</v>
      </c>
      <c r="C26" s="17">
        <f>C24-C25</f>
        <v>13844.6</v>
      </c>
      <c r="D26" s="18">
        <f>D24-D25</f>
        <v>13902.2</v>
      </c>
      <c r="E26" s="18">
        <f>E24-E25</f>
        <v>13959.8</v>
      </c>
      <c r="F26" s="18">
        <f>F24-F25</f>
        <v>14017.4</v>
      </c>
    </row>
    <row r="27" ht="20.05" customHeight="1">
      <c r="B27" t="s" s="10">
        <v>11</v>
      </c>
      <c r="C27" s="17">
        <f>'Balance sheet'!F31+C12</f>
        <v>7065.15</v>
      </c>
      <c r="D27" s="18">
        <f>C27+D12</f>
        <v>6711.8925</v>
      </c>
      <c r="E27" s="18">
        <f>D27+E12</f>
        <v>6376.297875</v>
      </c>
      <c r="F27" s="18">
        <f>E27+F12</f>
        <v>6057.48298125</v>
      </c>
    </row>
    <row r="28" ht="20.05" customHeight="1">
      <c r="B28" t="s" s="10">
        <v>26</v>
      </c>
      <c r="C28" s="17">
        <f>C13</f>
        <v>155.3978290488</v>
      </c>
      <c r="D28" s="18">
        <f>C28+D13</f>
        <v>279.169592969</v>
      </c>
      <c r="E28" s="18">
        <f>D28+E13</f>
        <v>340.5299082812</v>
      </c>
      <c r="F28" s="18">
        <f>E28+F13</f>
        <v>409.7222078278</v>
      </c>
    </row>
    <row r="29" ht="20.05" customHeight="1">
      <c r="B29" t="s" s="10">
        <v>27</v>
      </c>
      <c r="C29" s="17">
        <f>'Balance sheet'!G31+C22+C15</f>
        <v>7049.0521709512</v>
      </c>
      <c r="D29" s="18">
        <f>C29+D22+D15</f>
        <v>7336.137907031</v>
      </c>
      <c r="E29" s="18">
        <f>D29+E22+E15</f>
        <v>7667.9722167188</v>
      </c>
      <c r="F29" s="18">
        <f>E29+F22+F15</f>
        <v>7975.1948109222</v>
      </c>
    </row>
    <row r="30" ht="20.05" customHeight="1">
      <c r="B30" t="s" s="10">
        <v>28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29</v>
      </c>
      <c r="C31" s="17">
        <f>C19-C27-C28</f>
        <v>-6795.5478290488</v>
      </c>
      <c r="D31" s="18">
        <f>D19-D27-D28</f>
        <v>-6566.062092969</v>
      </c>
      <c r="E31" s="18">
        <f>E19-E27-E28</f>
        <v>-6291.8277832812</v>
      </c>
      <c r="F31" s="18">
        <f>F19-F27-F28</f>
        <v>-6042.2051890778</v>
      </c>
    </row>
    <row r="32" ht="20.05" customHeight="1">
      <c r="B32" t="s" s="20">
        <v>30</v>
      </c>
      <c r="C32" s="17"/>
      <c r="D32" s="18"/>
      <c r="E32" s="18"/>
      <c r="F32" s="18"/>
    </row>
    <row r="33" ht="20.05" customHeight="1">
      <c r="B33" t="s" s="10">
        <v>31</v>
      </c>
      <c r="C33" s="17">
        <f>'Cashflow'!O32-C11</f>
        <v>-506.8818290488</v>
      </c>
      <c r="D33" s="18">
        <f>C33-D11</f>
        <v>-277.396092969</v>
      </c>
      <c r="E33" s="18">
        <f>D33-E11</f>
        <v>-3.1617832812</v>
      </c>
      <c r="F33" s="18">
        <f>E33-F11</f>
        <v>246.4608109222</v>
      </c>
    </row>
    <row r="34" ht="20.05" customHeight="1">
      <c r="B34" t="s" s="10">
        <v>32</v>
      </c>
      <c r="C34" s="17"/>
      <c r="D34" s="18"/>
      <c r="E34" s="18"/>
      <c r="F34" s="18">
        <v>8108235048960</v>
      </c>
    </row>
    <row r="35" ht="20.05" customHeight="1">
      <c r="B35" t="s" s="10">
        <v>32</v>
      </c>
      <c r="C35" s="17"/>
      <c r="D35" s="18"/>
      <c r="E35" s="18"/>
      <c r="F35" s="18">
        <f>F34/1000000000</f>
        <v>8108.23504896</v>
      </c>
    </row>
    <row r="36" ht="20.05" customHeight="1">
      <c r="B36" t="s" s="10">
        <v>33</v>
      </c>
      <c r="C36" s="17"/>
      <c r="D36" s="18"/>
      <c r="E36" s="18"/>
      <c r="F36" s="24">
        <f>F35/(F19+F26)</f>
        <v>0.561418811898299</v>
      </c>
    </row>
    <row r="37" ht="20.05" customHeight="1">
      <c r="B37" t="s" s="10">
        <v>34</v>
      </c>
      <c r="C37" s="17"/>
      <c r="D37" s="18"/>
      <c r="E37" s="18"/>
      <c r="F37" s="16">
        <f>-(C15+D15+E15+F15)/F35</f>
        <v>0</v>
      </c>
    </row>
    <row r="38" ht="20.05" customHeight="1">
      <c r="B38" t="s" s="10">
        <v>35</v>
      </c>
      <c r="C38" s="17"/>
      <c r="D38" s="18"/>
      <c r="E38" s="18"/>
      <c r="F38" s="18">
        <f>SUM(C9:F10)</f>
        <v>969.7948109222</v>
      </c>
    </row>
    <row r="39" ht="20.05" customHeight="1">
      <c r="B39" t="s" s="10">
        <v>36</v>
      </c>
      <c r="C39" s="17"/>
      <c r="D39" s="18"/>
      <c r="E39" s="18"/>
      <c r="F39" s="18">
        <f>'Balance sheet'!D31/F38</f>
        <v>14.2164093318767</v>
      </c>
    </row>
    <row r="40" ht="20.05" customHeight="1">
      <c r="B40" t="s" s="10">
        <v>30</v>
      </c>
      <c r="C40" s="17"/>
      <c r="D40" s="18"/>
      <c r="E40" s="18"/>
      <c r="F40" s="18">
        <f>F35/F38</f>
        <v>8.360773802501271</v>
      </c>
    </row>
    <row r="41" ht="20.05" customHeight="1">
      <c r="B41" t="s" s="10">
        <v>37</v>
      </c>
      <c r="C41" s="17"/>
      <c r="D41" s="18"/>
      <c r="E41" s="18"/>
      <c r="F41" s="18">
        <v>10</v>
      </c>
    </row>
    <row r="42" ht="20.05" customHeight="1">
      <c r="B42" t="s" s="10">
        <v>38</v>
      </c>
      <c r="C42" s="17"/>
      <c r="D42" s="18"/>
      <c r="E42" s="18"/>
      <c r="F42" s="18">
        <f>F38*F41</f>
        <v>9697.948109221999</v>
      </c>
    </row>
    <row r="43" ht="20.05" customHeight="1">
      <c r="B43" t="s" s="10">
        <v>39</v>
      </c>
      <c r="C43" s="17"/>
      <c r="D43" s="18"/>
      <c r="E43" s="18"/>
      <c r="F43" s="18">
        <f>F35/F45</f>
        <v>15.898500096</v>
      </c>
    </row>
    <row r="44" ht="20.05" customHeight="1">
      <c r="B44" t="s" s="10">
        <v>40</v>
      </c>
      <c r="C44" s="17"/>
      <c r="D44" s="18"/>
      <c r="E44" s="18"/>
      <c r="F44" s="18">
        <f>F42/F43</f>
        <v>609.9913860215009</v>
      </c>
    </row>
    <row r="45" ht="20.05" customHeight="1">
      <c r="B45" t="s" s="10">
        <v>41</v>
      </c>
      <c r="C45" s="17"/>
      <c r="D45" s="18"/>
      <c r="E45" s="18"/>
      <c r="F45" s="18">
        <v>510</v>
      </c>
    </row>
    <row r="46" ht="20.05" customHeight="1">
      <c r="B46" t="s" s="10">
        <v>42</v>
      </c>
      <c r="C46" s="17"/>
      <c r="D46" s="18"/>
      <c r="E46" s="18"/>
      <c r="F46" s="16">
        <f>F44/F45-1</f>
        <v>0.196061541218629</v>
      </c>
    </row>
    <row r="47" ht="20.05" customHeight="1">
      <c r="B47" t="s" s="10">
        <v>43</v>
      </c>
      <c r="C47" s="17"/>
      <c r="D47" s="18"/>
      <c r="E47" s="18"/>
      <c r="F47" s="16">
        <f>'Sales'!C32/'Sales'!C28-1</f>
        <v>0.0582514426888401</v>
      </c>
    </row>
    <row r="48" ht="20.05" customHeight="1">
      <c r="B48" t="s" s="10">
        <v>44</v>
      </c>
      <c r="C48" s="17"/>
      <c r="D48" s="18"/>
      <c r="E48" s="18"/>
      <c r="F48" s="16">
        <f>'Sales'!F35/'Sales'!E35-1</f>
        <v>-0.0164651267967208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0938" style="25" customWidth="1"/>
    <col min="2" max="2" width="10.0312" style="25" customWidth="1"/>
    <col min="3" max="10" width="10.6328" style="25" customWidth="1"/>
    <col min="11" max="16384" width="16.3516" style="25" customWidth="1"/>
  </cols>
  <sheetData>
    <row r="1" ht="26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45</v>
      </c>
      <c r="D3" t="s" s="5">
        <v>37</v>
      </c>
      <c r="E3" t="s" s="5">
        <v>24</v>
      </c>
      <c r="F3" t="s" s="5">
        <v>21</v>
      </c>
      <c r="G3" t="s" s="5">
        <v>46</v>
      </c>
      <c r="H3" t="s" s="5">
        <v>6</v>
      </c>
      <c r="I3" t="s" s="5">
        <v>6</v>
      </c>
      <c r="J3" t="s" s="5">
        <v>37</v>
      </c>
    </row>
    <row r="4" ht="20.25" customHeight="1">
      <c r="B4" s="26">
        <v>2015</v>
      </c>
      <c r="C4" s="27">
        <v>3952.1</v>
      </c>
      <c r="D4" s="8"/>
      <c r="E4" s="28">
        <v>12.2</v>
      </c>
      <c r="F4" s="28">
        <v>75.40000000000001</v>
      </c>
      <c r="G4" s="9"/>
      <c r="H4" s="29">
        <f>(E4+F4-C4)/C4</f>
        <v>-0.977834568963336</v>
      </c>
      <c r="I4" s="29"/>
      <c r="J4" s="29"/>
    </row>
    <row r="5" ht="20.05" customHeight="1">
      <c r="B5" s="30"/>
      <c r="C5" s="13">
        <v>4731.7</v>
      </c>
      <c r="D5" s="23"/>
      <c r="E5" s="14">
        <v>14.9</v>
      </c>
      <c r="F5" s="14">
        <v>38.1</v>
      </c>
      <c r="G5" s="16">
        <f>C5/C4-1</f>
        <v>0.197262215024923</v>
      </c>
      <c r="H5" s="16">
        <f>(E5+F5-C5)/C5</f>
        <v>-0.988798951750956</v>
      </c>
      <c r="I5" s="16"/>
      <c r="J5" s="16"/>
    </row>
    <row r="6" ht="20.05" customHeight="1">
      <c r="B6" s="30"/>
      <c r="C6" s="13">
        <v>5266.9</v>
      </c>
      <c r="D6" s="23"/>
      <c r="E6" s="14">
        <v>11.6</v>
      </c>
      <c r="F6" s="14">
        <v>55.9</v>
      </c>
      <c r="G6" s="16">
        <f>C6/C5-1</f>
        <v>0.113109453262041</v>
      </c>
      <c r="H6" s="16">
        <f>(E6+F6-C6)/C6</f>
        <v>-0.9871841120963</v>
      </c>
      <c r="I6" s="16"/>
      <c r="J6" s="16"/>
    </row>
    <row r="7" ht="20.05" customHeight="1">
      <c r="B7" s="30"/>
      <c r="C7" s="13">
        <v>6056.9</v>
      </c>
      <c r="D7" s="23"/>
      <c r="E7" s="14">
        <v>13.2</v>
      </c>
      <c r="F7" s="14">
        <v>60.4</v>
      </c>
      <c r="G7" s="16">
        <f>C7/C6-1</f>
        <v>0.149993354724791</v>
      </c>
      <c r="H7" s="16">
        <f>(E7+F7-C7)/C7</f>
        <v>-0.9878485694001879</v>
      </c>
      <c r="I7" s="16"/>
      <c r="J7" s="16"/>
    </row>
    <row r="8" ht="20.05" customHeight="1">
      <c r="B8" s="31">
        <v>2016</v>
      </c>
      <c r="C8" s="13">
        <v>4850</v>
      </c>
      <c r="D8" s="23"/>
      <c r="E8" s="14">
        <v>15.7</v>
      </c>
      <c r="F8" s="14">
        <v>59.5</v>
      </c>
      <c r="G8" s="16">
        <f>C8/C7-1</f>
        <v>-0.19926034770262</v>
      </c>
      <c r="H8" s="16">
        <f>(E8+F8-C8)/C8</f>
        <v>-0.984494845360825</v>
      </c>
      <c r="I8" s="16">
        <f>AVERAGE(H5:H8)</f>
        <v>-0.987081619652067</v>
      </c>
      <c r="J8" s="16"/>
    </row>
    <row r="9" ht="20.05" customHeight="1">
      <c r="B9" s="30"/>
      <c r="C9" s="13">
        <v>5512.1</v>
      </c>
      <c r="D9" s="23"/>
      <c r="E9" s="14">
        <v>15.6</v>
      </c>
      <c r="F9" s="14">
        <v>68</v>
      </c>
      <c r="G9" s="16">
        <f>C9/C8-1</f>
        <v>0.136515463917526</v>
      </c>
      <c r="H9" s="16">
        <f>(E9+F9-C9)/C9</f>
        <v>-0.984833366593494</v>
      </c>
      <c r="I9" s="16">
        <f>AVERAGE(H6:H9)</f>
        <v>-0.986090223362702</v>
      </c>
      <c r="J9" s="16"/>
    </row>
    <row r="10" ht="20.05" customHeight="1">
      <c r="B10" s="30"/>
      <c r="C10" s="13">
        <v>5229.4</v>
      </c>
      <c r="D10" s="23"/>
      <c r="E10" s="14">
        <v>17.1</v>
      </c>
      <c r="F10" s="14">
        <v>62.7</v>
      </c>
      <c r="G10" s="16">
        <f>C10/C9-1</f>
        <v>-0.0512871682298942</v>
      </c>
      <c r="H10" s="16">
        <f>(E10+F10-C10)/C10</f>
        <v>-0.984740123149883</v>
      </c>
      <c r="I10" s="16">
        <f>AVERAGE(H7:H10)</f>
        <v>-0.985479226126098</v>
      </c>
      <c r="J10" s="16"/>
    </row>
    <row r="11" ht="20.05" customHeight="1">
      <c r="B11" s="30"/>
      <c r="C11" s="13">
        <v>4955.6</v>
      </c>
      <c r="D11" s="23"/>
      <c r="E11" s="14">
        <v>17</v>
      </c>
      <c r="F11" s="14">
        <v>71.5</v>
      </c>
      <c r="G11" s="16">
        <f>C11/C10-1</f>
        <v>-0.0523578230772173</v>
      </c>
      <c r="H11" s="16">
        <f>(E11+F11-C11)/C11</f>
        <v>-0.982141415772056</v>
      </c>
      <c r="I11" s="16">
        <f>AVERAGE(H8:H11)</f>
        <v>-0.984052437719065</v>
      </c>
      <c r="J11" s="16"/>
    </row>
    <row r="12" ht="20.05" customHeight="1">
      <c r="B12" s="31">
        <v>2017</v>
      </c>
      <c r="C12" s="13">
        <v>5165.9</v>
      </c>
      <c r="D12" s="23"/>
      <c r="E12" s="14">
        <v>18.26</v>
      </c>
      <c r="F12" s="14">
        <v>69.40000000000001</v>
      </c>
      <c r="G12" s="16">
        <f>C12/C11-1</f>
        <v>0.0424368391314876</v>
      </c>
      <c r="H12" s="16">
        <f>(E12+F12-C12)/C12</f>
        <v>-0.983031030410964</v>
      </c>
      <c r="I12" s="16">
        <f>AVERAGE(H9:H12)</f>
        <v>-0.983686483981599</v>
      </c>
      <c r="J12" s="16"/>
    </row>
    <row r="13" ht="20.05" customHeight="1">
      <c r="B13" s="30"/>
      <c r="C13" s="13">
        <v>5890.5</v>
      </c>
      <c r="D13" s="23"/>
      <c r="E13" s="14">
        <v>18.44</v>
      </c>
      <c r="F13" s="14">
        <v>77.40000000000001</v>
      </c>
      <c r="G13" s="16">
        <f>C13/C12-1</f>
        <v>0.140265974951122</v>
      </c>
      <c r="H13" s="16">
        <f>(E13+F13-C13)/C13</f>
        <v>-0.98372973431797</v>
      </c>
      <c r="I13" s="16">
        <f>AVERAGE(H10:H13)</f>
        <v>-0.983410575912718</v>
      </c>
      <c r="J13" s="16"/>
    </row>
    <row r="14" ht="20.05" customHeight="1">
      <c r="B14" s="30"/>
      <c r="C14" s="13">
        <v>5597.5</v>
      </c>
      <c r="D14" s="23"/>
      <c r="E14" s="14">
        <v>17.7</v>
      </c>
      <c r="F14" s="14">
        <v>84.09999999999999</v>
      </c>
      <c r="G14" s="16">
        <f>C14/C13-1</f>
        <v>-0.049741108564638</v>
      </c>
      <c r="H14" s="16">
        <f>(E14+F14-C14)/C14</f>
        <v>-0.981813309513176</v>
      </c>
      <c r="I14" s="16">
        <f>AVERAGE(H11:H14)</f>
        <v>-0.982678872503542</v>
      </c>
      <c r="J14" s="16"/>
    </row>
    <row r="15" ht="20.05" customHeight="1">
      <c r="B15" s="30"/>
      <c r="C15" s="13">
        <v>7576</v>
      </c>
      <c r="D15" s="23"/>
      <c r="E15" s="14">
        <v>22</v>
      </c>
      <c r="F15" s="14">
        <v>116.3</v>
      </c>
      <c r="G15" s="16">
        <f>C15/C14-1</f>
        <v>0.353461366681554</v>
      </c>
      <c r="H15" s="16">
        <f>(E15+F15-C15)/C15</f>
        <v>-0.981744984160507</v>
      </c>
      <c r="I15" s="16">
        <f>AVERAGE(H12:H15)</f>
        <v>-0.982579764600654</v>
      </c>
      <c r="J15" s="16"/>
    </row>
    <row r="16" ht="20.05" customHeight="1">
      <c r="B16" s="31">
        <v>2018</v>
      </c>
      <c r="C16" s="13">
        <v>8280</v>
      </c>
      <c r="D16" s="23"/>
      <c r="E16" s="14">
        <v>19.4</v>
      </c>
      <c r="F16" s="14">
        <v>216.5</v>
      </c>
      <c r="G16" s="16">
        <f>C16/C15-1</f>
        <v>0.0929250263991552</v>
      </c>
      <c r="H16" s="16">
        <f>(E16+F16-C16)/C16</f>
        <v>-0.971509661835749</v>
      </c>
      <c r="I16" s="16">
        <f>AVERAGE(H13:H16)</f>
        <v>-0.979699422456851</v>
      </c>
      <c r="J16" s="16"/>
    </row>
    <row r="17" ht="20.05" customHeight="1">
      <c r="B17" s="30"/>
      <c r="C17" s="13">
        <v>8812.4</v>
      </c>
      <c r="D17" s="23"/>
      <c r="E17" s="14">
        <v>20.8</v>
      </c>
      <c r="F17" s="14">
        <v>237.3</v>
      </c>
      <c r="G17" s="16">
        <f>C17/C16-1</f>
        <v>0.0642995169082126</v>
      </c>
      <c r="H17" s="16">
        <f>(E17+F17-C17)/C17</f>
        <v>-0.970711724388362</v>
      </c>
      <c r="I17" s="16">
        <f>AVERAGE(H14:H17)</f>
        <v>-0.976444919974449</v>
      </c>
      <c r="J17" s="16"/>
    </row>
    <row r="18" ht="20.05" customHeight="1">
      <c r="B18" s="30"/>
      <c r="C18" s="13">
        <v>8240.9</v>
      </c>
      <c r="D18" s="23"/>
      <c r="E18" s="14">
        <v>19.9</v>
      </c>
      <c r="F18" s="14">
        <v>202.2</v>
      </c>
      <c r="G18" s="16">
        <f>C18/C17-1</f>
        <v>-0.06485179973673461</v>
      </c>
      <c r="H18" s="16">
        <f>(E18+F18-C18)/C18</f>
        <v>-0.973049060175466</v>
      </c>
      <c r="I18" s="16">
        <f>AVERAGE(H15:H18)</f>
        <v>-0.974253857640021</v>
      </c>
      <c r="J18" s="16"/>
    </row>
    <row r="19" ht="20.05" customHeight="1">
      <c r="B19" s="30"/>
      <c r="C19" s="13">
        <v>9410.700000000001</v>
      </c>
      <c r="D19" s="23"/>
      <c r="E19" s="14">
        <v>31.3</v>
      </c>
      <c r="F19" s="14">
        <v>233</v>
      </c>
      <c r="G19" s="16">
        <f>C19/C18-1</f>
        <v>0.141950515113641</v>
      </c>
      <c r="H19" s="16">
        <f>(E19+F19-C19)/C19</f>
        <v>-0.971914947878479</v>
      </c>
      <c r="I19" s="16">
        <f>AVERAGE(H16:H19)</f>
        <v>-0.971796348569514</v>
      </c>
      <c r="J19" s="16"/>
    </row>
    <row r="20" ht="20.05" customHeight="1">
      <c r="B20" s="31">
        <v>2019</v>
      </c>
      <c r="C20" s="13">
        <v>7124</v>
      </c>
      <c r="D20" s="23"/>
      <c r="E20" s="14">
        <v>25.8</v>
      </c>
      <c r="F20" s="14">
        <v>56.5</v>
      </c>
      <c r="G20" s="16">
        <f>C20/C19-1</f>
        <v>-0.242989363171709</v>
      </c>
      <c r="H20" s="16">
        <f>(E20+F20-C20)/C20</f>
        <v>-0.988447501403706</v>
      </c>
      <c r="I20" s="16">
        <f>AVERAGE(H17:H20)</f>
        <v>-0.976030808461503</v>
      </c>
      <c r="J20" s="16"/>
    </row>
    <row r="21" ht="20.05" customHeight="1">
      <c r="B21" s="30"/>
      <c r="C21" s="13">
        <v>8305</v>
      </c>
      <c r="D21" s="23"/>
      <c r="E21" s="14">
        <v>27.2</v>
      </c>
      <c r="F21" s="14">
        <v>67.5</v>
      </c>
      <c r="G21" s="16">
        <f>C21/C20-1</f>
        <v>0.16577765300393</v>
      </c>
      <c r="H21" s="16">
        <f>(E21+F21-C21)/C21</f>
        <v>-0.988597230583986</v>
      </c>
      <c r="I21" s="16">
        <f>AVERAGE(H18:H21)</f>
        <v>-0.980502185010409</v>
      </c>
      <c r="J21" s="16"/>
    </row>
    <row r="22" ht="20.05" customHeight="1">
      <c r="B22" s="30"/>
      <c r="C22" s="13">
        <v>8184</v>
      </c>
      <c r="D22" s="14">
        <v>8240.9</v>
      </c>
      <c r="E22" s="14">
        <v>28.8</v>
      </c>
      <c r="F22" s="14">
        <v>52</v>
      </c>
      <c r="G22" s="16">
        <f>C22/C21-1</f>
        <v>-0.0145695364238411</v>
      </c>
      <c r="H22" s="16">
        <f>(E22+F22-C22)/C22</f>
        <v>-0.990127077223851</v>
      </c>
      <c r="I22" s="16">
        <f>AVERAGE(H19:H22)</f>
        <v>-0.984771689272506</v>
      </c>
      <c r="J22" s="16"/>
    </row>
    <row r="23" ht="20.05" customHeight="1">
      <c r="B23" s="30"/>
      <c r="C23" s="13">
        <v>9331.9</v>
      </c>
      <c r="D23" s="14">
        <v>8940.165000000001</v>
      </c>
      <c r="E23" s="14">
        <f>'Balance sheet'!E22-'Balance sheet'!E21</f>
        <v>45</v>
      </c>
      <c r="F23" s="14">
        <v>149.583</v>
      </c>
      <c r="G23" s="16">
        <f>C23/C22-1</f>
        <v>0.140261485826002</v>
      </c>
      <c r="H23" s="16">
        <f>(E23+F23-C23)/C23</f>
        <v>-0.9791486192522419</v>
      </c>
      <c r="I23" s="16">
        <f>AVERAGE(H20:H23)</f>
        <v>-0.986580107115946</v>
      </c>
      <c r="J23" s="16"/>
    </row>
    <row r="24" ht="20.05" customHeight="1">
      <c r="B24" s="31">
        <v>2020</v>
      </c>
      <c r="C24" s="13">
        <v>7806</v>
      </c>
      <c r="D24" s="32">
        <v>7836.4</v>
      </c>
      <c r="E24" s="14">
        <f>'Balance sheet'!E23-'Balance sheet'!E22</f>
        <v>37</v>
      </c>
      <c r="F24" s="14">
        <v>110</v>
      </c>
      <c r="G24" s="16">
        <f>C24/C23-1</f>
        <v>-0.163514396853803</v>
      </c>
      <c r="H24" s="16">
        <f>(E24+F24-C24)/C24</f>
        <v>-0.9811683320522669</v>
      </c>
      <c r="I24" s="16">
        <f>AVERAGE(H21:H24)</f>
        <v>-0.984760314778087</v>
      </c>
      <c r="J24" s="16"/>
    </row>
    <row r="25" ht="20.05" customHeight="1">
      <c r="B25" s="30"/>
      <c r="C25" s="13">
        <v>6656.73</v>
      </c>
      <c r="D25" s="14">
        <v>6656.73</v>
      </c>
      <c r="E25" s="14">
        <f>'Balance sheet'!E24-'Balance sheet'!E23</f>
        <v>21</v>
      </c>
      <c r="F25" s="14">
        <v>14.228</v>
      </c>
      <c r="G25" s="16">
        <f>C25/C24-1</f>
        <v>-0.147229054573405</v>
      </c>
      <c r="H25" s="16">
        <f>(E25+F25-C25)/C25</f>
        <v>-0.994707912143049</v>
      </c>
      <c r="I25" s="16">
        <f>AVERAGE(H22:H25)</f>
        <v>-0.986287985167852</v>
      </c>
      <c r="J25" s="16"/>
    </row>
    <row r="26" ht="20.05" customHeight="1">
      <c r="B26" s="30"/>
      <c r="C26" s="13">
        <v>8707.27</v>
      </c>
      <c r="D26" s="14">
        <v>7529.28</v>
      </c>
      <c r="E26" s="14">
        <f>'Balance sheet'!E25-'Balance sheet'!E24</f>
        <v>34</v>
      </c>
      <c r="F26" s="14">
        <f>329-F25-F24</f>
        <v>204.772</v>
      </c>
      <c r="G26" s="16">
        <f>C26/C25-1</f>
        <v>0.308040133819458</v>
      </c>
      <c r="H26" s="16">
        <f>(E26+F26-C26)/C26</f>
        <v>-0.972577857353683</v>
      </c>
      <c r="I26" s="16">
        <f>AVERAGE(H23:H26)</f>
        <v>-0.98190068020031</v>
      </c>
      <c r="J26" s="16"/>
    </row>
    <row r="27" ht="20.05" customHeight="1">
      <c r="B27" s="30"/>
      <c r="C27" s="13">
        <f>34113.5-SUM(C24:C26)</f>
        <v>10943.5</v>
      </c>
      <c r="D27" s="14">
        <v>9577.996999999999</v>
      </c>
      <c r="E27" s="14">
        <f>405.3-SUM(E24:E26)</f>
        <v>313.3</v>
      </c>
      <c r="F27" s="14">
        <f>671.2-SUM(F24:F26)</f>
        <v>342.2</v>
      </c>
      <c r="G27" s="16">
        <f>C27/C26-1</f>
        <v>0.256823321201708</v>
      </c>
      <c r="H27" s="16">
        <f>(E27+F27-C27)/C27</f>
        <v>-0.940101430072646</v>
      </c>
      <c r="I27" s="16">
        <f>AVERAGE(H24:H27)</f>
        <v>-0.972138882905411</v>
      </c>
      <c r="J27" s="16"/>
    </row>
    <row r="28" ht="20.05" customHeight="1">
      <c r="B28" s="31">
        <v>2021</v>
      </c>
      <c r="C28" s="13">
        <v>10847.8</v>
      </c>
      <c r="D28" s="14">
        <v>11052.935</v>
      </c>
      <c r="E28" s="14">
        <v>142.5</v>
      </c>
      <c r="F28" s="33">
        <v>315.8</v>
      </c>
      <c r="G28" s="16">
        <f>C28/C27-1</f>
        <v>-0.00874491707406223</v>
      </c>
      <c r="H28" s="16">
        <f>(E28+F28-C28)/C28</f>
        <v>-0.957751802208743</v>
      </c>
      <c r="I28" s="16">
        <f>AVERAGE(H25:H28)</f>
        <v>-0.96628475044453</v>
      </c>
      <c r="J28" s="16"/>
    </row>
    <row r="29" ht="20.05" customHeight="1">
      <c r="B29" s="30"/>
      <c r="C29" s="13">
        <f>21358.9-C28</f>
        <v>10511.1</v>
      </c>
      <c r="D29" s="14">
        <v>11824.102</v>
      </c>
      <c r="E29" s="14">
        <f>204.2+3.5-E28</f>
        <v>65.2</v>
      </c>
      <c r="F29" s="14">
        <f>614.1-F28</f>
        <v>298.3</v>
      </c>
      <c r="G29" s="16">
        <f>C29/C28-1</f>
        <v>-0.0310385515957153</v>
      </c>
      <c r="H29" s="16">
        <f>(E29+F29-C29)/C29</f>
        <v>-0.965417511012168</v>
      </c>
      <c r="I29" s="16">
        <f>AVERAGE(H26:H29)</f>
        <v>-0.95896215016181</v>
      </c>
      <c r="J29" s="16"/>
    </row>
    <row r="30" ht="20.05" customHeight="1">
      <c r="B30" s="30"/>
      <c r="C30" s="13">
        <f>31180.6-SUM(C28:C29)</f>
        <v>9821.700000000001</v>
      </c>
      <c r="D30" s="14">
        <v>10195.767</v>
      </c>
      <c r="E30" s="14">
        <f>310.6-SUM(E28:E29)</f>
        <v>102.9</v>
      </c>
      <c r="F30" s="33">
        <f>799.3-SUM(F28:F29)</f>
        <v>185.2</v>
      </c>
      <c r="G30" s="16">
        <f>C30/C29-1</f>
        <v>-0.06558780717527191</v>
      </c>
      <c r="H30" s="16">
        <f>(E30+F30-C30)/C30</f>
        <v>-0.970666992475844</v>
      </c>
      <c r="I30" s="16">
        <f>AVERAGE(H27:H30)</f>
        <v>-0.9584844339423499</v>
      </c>
      <c r="J30" s="16"/>
    </row>
    <row r="31" ht="20.05" customHeight="1">
      <c r="B31" s="30"/>
      <c r="C31" s="13">
        <f>43467-SUM(C28:C30)</f>
        <v>12286.4</v>
      </c>
      <c r="D31" s="14">
        <v>11294.955</v>
      </c>
      <c r="E31" s="14">
        <f>537.2-SUM(E28:E30)</f>
        <v>226.6</v>
      </c>
      <c r="F31" s="33">
        <f>1117.9-SUM(F28:F30)</f>
        <v>318.6</v>
      </c>
      <c r="G31" s="16">
        <f>C31/C30-1</f>
        <v>0.250944337538308</v>
      </c>
      <c r="H31" s="16">
        <f>(E31+F31-C31)/C31</f>
        <v>-0.955625732517255</v>
      </c>
      <c r="I31" s="16">
        <f>AVERAGE(H28:H31)</f>
        <v>-0.962365509553503</v>
      </c>
      <c r="J31" s="16"/>
    </row>
    <row r="32" ht="20.05" customHeight="1">
      <c r="B32" s="31">
        <v>2022</v>
      </c>
      <c r="C32" s="13">
        <v>11479.7</v>
      </c>
      <c r="D32" s="14">
        <v>11672.08</v>
      </c>
      <c r="E32" s="18">
        <v>160.4</v>
      </c>
      <c r="F32" s="18">
        <v>300.2</v>
      </c>
      <c r="G32" s="16">
        <f>C32/C31-1</f>
        <v>-0.06565796327646831</v>
      </c>
      <c r="H32" s="16">
        <f>(E32+F32-C32)/C32</f>
        <v>-0.959877000270042</v>
      </c>
      <c r="I32" s="16">
        <f>AVERAGE(H29:H32)</f>
        <v>-0.962896809068827</v>
      </c>
      <c r="J32" s="16">
        <v>-0.962365509553503</v>
      </c>
    </row>
    <row r="33" ht="20.05" customHeight="1">
      <c r="B33" s="30"/>
      <c r="C33" s="13"/>
      <c r="D33" s="14">
        <f>'Model'!C6</f>
        <v>11709.294</v>
      </c>
      <c r="E33" s="23"/>
      <c r="F33" s="23"/>
      <c r="G33" s="12"/>
      <c r="H33" s="23"/>
      <c r="I33" s="23"/>
      <c r="J33" s="16">
        <f>'Model'!C7</f>
        <v>-0.962896809068827</v>
      </c>
    </row>
    <row r="34" ht="20.05" customHeight="1">
      <c r="B34" s="30"/>
      <c r="C34" s="13"/>
      <c r="D34" s="14">
        <f>'Model'!D6</f>
        <v>12060.57282</v>
      </c>
      <c r="E34" s="23"/>
      <c r="F34" s="34"/>
      <c r="G34" s="12"/>
      <c r="H34" s="12"/>
      <c r="I34" s="12"/>
      <c r="J34" s="12"/>
    </row>
    <row r="35" ht="20.05" customHeight="1">
      <c r="B35" s="30"/>
      <c r="C35" s="13"/>
      <c r="D35" s="14">
        <f>'Model'!E6</f>
        <v>13266.630102</v>
      </c>
      <c r="E35" s="14">
        <f>SUM(C22:C32)</f>
        <v>106576.1</v>
      </c>
      <c r="F35" s="14">
        <f>SUM(D22:D32)</f>
        <v>104821.311</v>
      </c>
      <c r="G35" s="12"/>
      <c r="H35" s="12"/>
      <c r="I35" s="12"/>
      <c r="J35" s="12"/>
    </row>
    <row r="36" ht="20.05" customHeight="1">
      <c r="B36" s="31">
        <v>2023</v>
      </c>
      <c r="C36" s="13"/>
      <c r="D36" s="14">
        <f>'Model'!F6</f>
        <v>12603.2985969</v>
      </c>
      <c r="E36" s="23"/>
      <c r="F36" s="34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0938" style="35" customWidth="1"/>
    <col min="2" max="2" width="9.21094" style="35" customWidth="1"/>
    <col min="3" max="4" hidden="1" width="16.3333" style="35" customWidth="1"/>
    <col min="5" max="6" width="11.0703" style="35" customWidth="1"/>
    <col min="7" max="7" width="11.4844" style="35" customWidth="1"/>
    <col min="8" max="8" width="11.0703" style="35" customWidth="1"/>
    <col min="9" max="17" width="10.0938" style="35" customWidth="1"/>
    <col min="18" max="16384" width="16.3516" style="35" customWidth="1"/>
  </cols>
  <sheetData>
    <row r="1" ht="59.05" customHeight="1"/>
    <row r="2" ht="27.65" customHeight="1">
      <c r="B2" t="s" s="2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2.25" customHeight="1">
      <c r="B3" t="s" s="5">
        <v>47</v>
      </c>
      <c r="C3" t="s" s="36">
        <v>48</v>
      </c>
      <c r="D3" t="s" s="36">
        <v>49</v>
      </c>
      <c r="E3" t="s" s="5">
        <v>48</v>
      </c>
      <c r="F3" t="s" s="5">
        <v>8</v>
      </c>
      <c r="G3" t="s" s="5">
        <v>9</v>
      </c>
      <c r="H3" t="s" s="5">
        <v>50</v>
      </c>
      <c r="I3" t="s" s="5">
        <v>11</v>
      </c>
      <c r="J3" t="s" s="5">
        <v>14</v>
      </c>
      <c r="K3" t="s" s="5">
        <v>10</v>
      </c>
      <c r="L3" t="s" s="5">
        <v>51</v>
      </c>
      <c r="M3" t="s" s="5">
        <v>35</v>
      </c>
      <c r="N3" t="s" s="5">
        <v>37</v>
      </c>
      <c r="O3" t="s" s="5">
        <v>31</v>
      </c>
      <c r="P3" t="s" s="5">
        <v>37</v>
      </c>
      <c r="Q3" s="37"/>
    </row>
    <row r="4" ht="20.25" customHeight="1">
      <c r="B4" s="26">
        <v>2015</v>
      </c>
      <c r="C4" s="38">
        <f>#REF!</f>
      </c>
      <c r="D4" s="38">
        <f>#REF!</f>
      </c>
      <c r="E4" s="39"/>
      <c r="F4" s="40">
        <v>-79.09999999999999</v>
      </c>
      <c r="G4" s="40">
        <v>-50</v>
      </c>
      <c r="H4" s="40"/>
      <c r="I4" s="40"/>
      <c r="J4" s="40"/>
      <c r="K4" s="40">
        <v>48.7</v>
      </c>
      <c r="L4" s="40">
        <f>F4+G4+H4</f>
        <v>-129.1</v>
      </c>
      <c r="M4" s="40">
        <f>AVERAGE(L4:L4)</f>
        <v>-129.1</v>
      </c>
      <c r="N4" s="40"/>
      <c r="O4" s="40">
        <f>-(K4-H4)-592</f>
        <v>-640.7</v>
      </c>
      <c r="P4" s="40"/>
      <c r="Q4" s="40">
        <v>1</v>
      </c>
    </row>
    <row r="5" ht="20.05" customHeight="1">
      <c r="B5" s="30"/>
      <c r="C5" s="41">
        <f>#REF!-#REF!</f>
      </c>
      <c r="D5" s="41">
        <f>#REF!-#REF!</f>
      </c>
      <c r="E5" s="17"/>
      <c r="F5" s="18">
        <v>336.1</v>
      </c>
      <c r="G5" s="18">
        <v>-59.9</v>
      </c>
      <c r="H5" s="18"/>
      <c r="I5" s="18"/>
      <c r="J5" s="18"/>
      <c r="K5" s="18">
        <v>-349.1</v>
      </c>
      <c r="L5" s="18">
        <f>F5+G5+H5</f>
        <v>276.2</v>
      </c>
      <c r="M5" s="18">
        <f>AVERAGE(L4:L5)</f>
        <v>73.55</v>
      </c>
      <c r="N5" s="18"/>
      <c r="O5" s="18">
        <f>-(K5-H5)+O4</f>
        <v>-291.6</v>
      </c>
      <c r="P5" s="18"/>
      <c r="Q5" s="18">
        <f>1+Q4</f>
        <v>2</v>
      </c>
    </row>
    <row r="6" ht="20.05" customHeight="1">
      <c r="B6" s="30"/>
      <c r="C6" s="41">
        <f>#REF!-#REF!</f>
      </c>
      <c r="D6" s="41">
        <f>#REF!-#REF!</f>
      </c>
      <c r="E6" s="17"/>
      <c r="F6" s="18">
        <v>361.5</v>
      </c>
      <c r="G6" s="18">
        <v>-53.1</v>
      </c>
      <c r="H6" s="18"/>
      <c r="I6" s="18"/>
      <c r="J6" s="18"/>
      <c r="K6" s="18">
        <v>-386</v>
      </c>
      <c r="L6" s="18">
        <f>F6+G6+H6</f>
        <v>308.4</v>
      </c>
      <c r="M6" s="18">
        <f>AVERAGE(L4:L6)</f>
        <v>151.833333333333</v>
      </c>
      <c r="N6" s="18"/>
      <c r="O6" s="18">
        <f>-(K6-H6)+O5</f>
        <v>94.40000000000001</v>
      </c>
      <c r="P6" s="18"/>
      <c r="Q6" s="18">
        <f>1+Q5</f>
        <v>3</v>
      </c>
    </row>
    <row r="7" ht="20.05" customHeight="1">
      <c r="B7" s="30"/>
      <c r="C7" s="41">
        <f>#REF!-#REF!</f>
      </c>
      <c r="D7" s="41">
        <f>#REF!-#REF!</f>
      </c>
      <c r="E7" s="17"/>
      <c r="F7" s="18">
        <v>-425.2</v>
      </c>
      <c r="G7" s="18">
        <v>-54.2</v>
      </c>
      <c r="H7" s="18"/>
      <c r="I7" s="18"/>
      <c r="J7" s="18"/>
      <c r="K7" s="18">
        <v>343.7</v>
      </c>
      <c r="L7" s="18">
        <f>F7+G7+H7</f>
        <v>-479.4</v>
      </c>
      <c r="M7" s="18">
        <f>AVERAGE(L4:L7)</f>
        <v>-5.975</v>
      </c>
      <c r="N7" s="18"/>
      <c r="O7" s="18">
        <f>-(K7-H7)+O6</f>
        <v>-249.3</v>
      </c>
      <c r="P7" s="18"/>
      <c r="Q7" s="18">
        <f>1+Q6</f>
        <v>4</v>
      </c>
    </row>
    <row r="8" ht="20.05" customHeight="1">
      <c r="B8" s="31">
        <v>2016</v>
      </c>
      <c r="C8" s="41">
        <f>#REF!</f>
      </c>
      <c r="D8" s="41">
        <f>#REF!</f>
      </c>
      <c r="E8" s="17"/>
      <c r="F8" s="18">
        <v>-349.8</v>
      </c>
      <c r="G8" s="18">
        <v>-51.1</v>
      </c>
      <c r="H8" s="18"/>
      <c r="I8" s="18"/>
      <c r="J8" s="18"/>
      <c r="K8" s="18">
        <v>198.8</v>
      </c>
      <c r="L8" s="18">
        <f>F8+G8+H8</f>
        <v>-400.9</v>
      </c>
      <c r="M8" s="18">
        <f>AVERAGE(L5:L8)</f>
        <v>-73.925</v>
      </c>
      <c r="N8" s="18"/>
      <c r="O8" s="18">
        <f>-(K8-H8)+O7</f>
        <v>-448.1</v>
      </c>
      <c r="P8" s="18"/>
      <c r="Q8" s="18">
        <f>1+Q7</f>
        <v>5</v>
      </c>
    </row>
    <row r="9" ht="20.05" customHeight="1">
      <c r="B9" s="30"/>
      <c r="C9" s="41">
        <f>#REF!-#REF!</f>
      </c>
      <c r="D9" s="41">
        <f>#REF!-#REF!</f>
      </c>
      <c r="E9" s="17"/>
      <c r="F9" s="18">
        <v>599.2</v>
      </c>
      <c r="G9" s="18">
        <v>-78.09999999999999</v>
      </c>
      <c r="H9" s="18"/>
      <c r="I9" s="18"/>
      <c r="J9" s="18"/>
      <c r="K9" s="18">
        <v>-291.2</v>
      </c>
      <c r="L9" s="18">
        <f>F9+G9+H9</f>
        <v>521.1</v>
      </c>
      <c r="M9" s="18">
        <f>AVERAGE(L6:L9)</f>
        <v>-12.7</v>
      </c>
      <c r="N9" s="18"/>
      <c r="O9" s="18">
        <f>-(K9-H9)+O8</f>
        <v>-156.9</v>
      </c>
      <c r="P9" s="18"/>
      <c r="Q9" s="18">
        <f>1+Q8</f>
        <v>6</v>
      </c>
    </row>
    <row r="10" ht="20.05" customHeight="1">
      <c r="B10" s="30"/>
      <c r="C10" s="41">
        <f>#REF!-#REF!</f>
      </c>
      <c r="D10" s="41">
        <f>#REF!-#REF!</f>
      </c>
      <c r="E10" s="17"/>
      <c r="F10" s="18">
        <v>366.9</v>
      </c>
      <c r="G10" s="18">
        <v>-58.1</v>
      </c>
      <c r="H10" s="18"/>
      <c r="I10" s="18"/>
      <c r="J10" s="18"/>
      <c r="K10" s="18">
        <v>-375.8</v>
      </c>
      <c r="L10" s="18">
        <f>F10+G10+H10</f>
        <v>308.8</v>
      </c>
      <c r="M10" s="18">
        <f>AVERAGE(L7:L10)</f>
        <v>-12.6</v>
      </c>
      <c r="N10" s="18"/>
      <c r="O10" s="18">
        <f>-(K10-H10)+O9</f>
        <v>218.9</v>
      </c>
      <c r="P10" s="18"/>
      <c r="Q10" s="18">
        <f>1+Q9</f>
        <v>7</v>
      </c>
    </row>
    <row r="11" ht="20.05" customHeight="1">
      <c r="B11" s="30"/>
      <c r="C11" s="41">
        <f>#REF!-#REF!</f>
      </c>
      <c r="D11" s="41">
        <f>#REF!-#REF!</f>
      </c>
      <c r="E11" s="17"/>
      <c r="F11" s="18">
        <v>852.7</v>
      </c>
      <c r="G11" s="18">
        <v>-35.9</v>
      </c>
      <c r="H11" s="18"/>
      <c r="I11" s="18"/>
      <c r="J11" s="18"/>
      <c r="K11" s="18">
        <v>-374.1</v>
      </c>
      <c r="L11" s="18">
        <f>F11+G11+H11</f>
        <v>816.8</v>
      </c>
      <c r="M11" s="18">
        <f>AVERAGE(L8:L11)</f>
        <v>311.45</v>
      </c>
      <c r="N11" s="18"/>
      <c r="O11" s="18">
        <f>-(K11-H11)+O10</f>
        <v>593</v>
      </c>
      <c r="P11" s="18"/>
      <c r="Q11" s="18">
        <f>1+Q10</f>
        <v>8</v>
      </c>
    </row>
    <row r="12" ht="20.05" customHeight="1">
      <c r="B12" s="31">
        <v>2017</v>
      </c>
      <c r="C12" s="41">
        <f>#REF!</f>
      </c>
      <c r="D12" s="41">
        <f>#REF!</f>
      </c>
      <c r="E12" s="17">
        <v>5347.8</v>
      </c>
      <c r="F12" s="18">
        <v>-963.6</v>
      </c>
      <c r="G12" s="18">
        <v>-71.09999999999999</v>
      </c>
      <c r="H12" s="18"/>
      <c r="I12" s="18"/>
      <c r="J12" s="18"/>
      <c r="K12" s="18">
        <v>319.1</v>
      </c>
      <c r="L12" s="18">
        <f>F12+G12+H12</f>
        <v>-1034.7</v>
      </c>
      <c r="M12" s="18">
        <f>AVERAGE(L9:L12)</f>
        <v>153</v>
      </c>
      <c r="N12" s="18"/>
      <c r="O12" s="18">
        <f>-(K12-H12)+O11</f>
        <v>273.9</v>
      </c>
      <c r="P12" s="18"/>
      <c r="Q12" s="18">
        <f>1+Q11</f>
        <v>9</v>
      </c>
    </row>
    <row r="13" ht="20.05" customHeight="1">
      <c r="B13" s="30"/>
      <c r="C13" s="41">
        <f>#REF!-#REF!</f>
      </c>
      <c r="D13" s="41">
        <f>#REF!-#REF!</f>
      </c>
      <c r="E13" s="17">
        <f>11054-E12</f>
        <v>5706.2</v>
      </c>
      <c r="F13" s="18">
        <v>187.5</v>
      </c>
      <c r="G13" s="18">
        <v>-66.09999999999999</v>
      </c>
      <c r="H13" s="18"/>
      <c r="I13" s="18"/>
      <c r="J13" s="18"/>
      <c r="K13" s="18">
        <v>484.8</v>
      </c>
      <c r="L13" s="18">
        <f>F13+G13+H13</f>
        <v>121.4</v>
      </c>
      <c r="M13" s="18">
        <f>AVERAGE(L10:L13)</f>
        <v>53.075</v>
      </c>
      <c r="N13" s="18"/>
      <c r="O13" s="18">
        <f>-(K13-H13)+O12</f>
        <v>-210.9</v>
      </c>
      <c r="P13" s="18"/>
      <c r="Q13" s="18">
        <f>1+Q12</f>
        <v>10</v>
      </c>
    </row>
    <row r="14" ht="20.05" customHeight="1">
      <c r="B14" s="30"/>
      <c r="C14" s="41">
        <f>#REF!-#REF!</f>
      </c>
      <c r="D14" s="41">
        <f>#REF!-#REF!</f>
      </c>
      <c r="E14" s="17">
        <f>16824-E13-E12</f>
        <v>5770</v>
      </c>
      <c r="F14" s="18">
        <v>-24.1</v>
      </c>
      <c r="G14" s="18">
        <v>-96.59999999999999</v>
      </c>
      <c r="H14" s="18"/>
      <c r="I14" s="18"/>
      <c r="J14" s="18"/>
      <c r="K14" s="18">
        <v>-65.2</v>
      </c>
      <c r="L14" s="18">
        <f>F14+G14+H14</f>
        <v>-120.7</v>
      </c>
      <c r="M14" s="18">
        <f>AVERAGE(L11:L14)</f>
        <v>-54.3</v>
      </c>
      <c r="N14" s="18"/>
      <c r="O14" s="18">
        <f>-(K14-H14)+O13</f>
        <v>-145.7</v>
      </c>
      <c r="P14" s="18"/>
      <c r="Q14" s="18">
        <f>1+Q13</f>
        <v>11</v>
      </c>
    </row>
    <row r="15" ht="20.05" customHeight="1">
      <c r="B15" s="30"/>
      <c r="C15" s="41">
        <f>#REF!-#REF!</f>
      </c>
      <c r="D15" s="41">
        <f>#REF!-#REF!</f>
      </c>
      <c r="E15" s="17">
        <f>24167-E14-E13-E12</f>
        <v>7343</v>
      </c>
      <c r="F15" s="18">
        <v>35.2</v>
      </c>
      <c r="G15" s="18">
        <v>-38.3</v>
      </c>
      <c r="H15" s="18"/>
      <c r="I15" s="18"/>
      <c r="J15" s="18"/>
      <c r="K15" s="18">
        <v>-216.7</v>
      </c>
      <c r="L15" s="18">
        <f>F15+G15+H15</f>
        <v>-3.1</v>
      </c>
      <c r="M15" s="18">
        <f>AVERAGE(L12:L15)</f>
        <v>-259.275</v>
      </c>
      <c r="N15" s="18"/>
      <c r="O15" s="18">
        <f>-(K15-H15)+O14</f>
        <v>71</v>
      </c>
      <c r="P15" s="18"/>
      <c r="Q15" s="18">
        <f>1+Q14</f>
        <v>12</v>
      </c>
    </row>
    <row r="16" ht="20.05" customHeight="1">
      <c r="B16" s="31">
        <v>2018</v>
      </c>
      <c r="C16" s="41">
        <f>#REF!</f>
      </c>
      <c r="D16" s="41">
        <f>#REF!</f>
      </c>
      <c r="E16" s="17">
        <v>8397.5</v>
      </c>
      <c r="F16" s="18">
        <v>-1665.1</v>
      </c>
      <c r="G16" s="18">
        <v>-72.8</v>
      </c>
      <c r="H16" s="18"/>
      <c r="I16" s="18"/>
      <c r="J16" s="18"/>
      <c r="K16" s="18">
        <v>1534.3</v>
      </c>
      <c r="L16" s="18">
        <f>F16+G16+H16</f>
        <v>-1737.9</v>
      </c>
      <c r="M16" s="18">
        <f>AVERAGE(L13:L16)</f>
        <v>-435.075</v>
      </c>
      <c r="N16" s="18"/>
      <c r="O16" s="18">
        <f>-(K16-H16)+O15</f>
        <v>-1463.3</v>
      </c>
      <c r="P16" s="18"/>
      <c r="Q16" s="18">
        <f>1+Q15</f>
        <v>13</v>
      </c>
    </row>
    <row r="17" ht="20.05" customHeight="1">
      <c r="B17" s="30"/>
      <c r="C17" s="41">
        <f>#REF!-#REF!</f>
      </c>
      <c r="D17" s="41">
        <f>#REF!-#REF!</f>
      </c>
      <c r="E17" s="17">
        <f>17173.1-E16</f>
        <v>8775.6</v>
      </c>
      <c r="F17" s="18">
        <v>-107</v>
      </c>
      <c r="G17" s="18">
        <v>-151</v>
      </c>
      <c r="H17" s="18"/>
      <c r="I17" s="18"/>
      <c r="J17" s="18"/>
      <c r="K17" s="18">
        <v>273.7</v>
      </c>
      <c r="L17" s="18">
        <f>F17+G17+H17</f>
        <v>-258</v>
      </c>
      <c r="M17" s="18">
        <f>AVERAGE(L14:L17)</f>
        <v>-529.925</v>
      </c>
      <c r="N17" s="18"/>
      <c r="O17" s="18">
        <f>-(K17-H17)+O16</f>
        <v>-1737</v>
      </c>
      <c r="P17" s="18"/>
      <c r="Q17" s="18">
        <f>1+Q16</f>
        <v>14</v>
      </c>
    </row>
    <row r="18" ht="20.05" customHeight="1">
      <c r="B18" s="30"/>
      <c r="C18" s="41">
        <f>#REF!-#REF!</f>
      </c>
      <c r="D18" s="41">
        <f>#REF!-#REF!</f>
      </c>
      <c r="E18" s="17">
        <f>25782-E17-E16</f>
        <v>8608.9</v>
      </c>
      <c r="F18" s="18">
        <v>-1314</v>
      </c>
      <c r="G18" s="18">
        <v>-76.3</v>
      </c>
      <c r="H18" s="18"/>
      <c r="I18" s="18"/>
      <c r="J18" s="18"/>
      <c r="K18" s="18">
        <v>1173.8</v>
      </c>
      <c r="L18" s="18">
        <f>F18+G18+H18</f>
        <v>-1390.3</v>
      </c>
      <c r="M18" s="18">
        <f>AVERAGE(L15:L18)</f>
        <v>-847.325</v>
      </c>
      <c r="N18" s="18"/>
      <c r="O18" s="18">
        <f>-(K18-H18)+O17</f>
        <v>-2910.8</v>
      </c>
      <c r="P18" s="18"/>
      <c r="Q18" s="18">
        <f>1+Q17</f>
        <v>15</v>
      </c>
    </row>
    <row r="19" ht="20.05" customHeight="1">
      <c r="B19" s="30"/>
      <c r="C19" s="41">
        <f>#REF!-#REF!</f>
      </c>
      <c r="D19" s="41">
        <f>#REF!-#REF!</f>
      </c>
      <c r="E19" s="17">
        <f>34886-E18-E17-E16</f>
        <v>9104</v>
      </c>
      <c r="F19" s="18">
        <v>659.1</v>
      </c>
      <c r="G19" s="18">
        <v>-98.5</v>
      </c>
      <c r="H19" s="18"/>
      <c r="I19" s="18"/>
      <c r="J19" s="18"/>
      <c r="K19" s="18">
        <v>-362.8</v>
      </c>
      <c r="L19" s="18">
        <f>F19+G19+H19</f>
        <v>560.6</v>
      </c>
      <c r="M19" s="18">
        <f>AVERAGE(L16:L19)</f>
        <v>-706.4</v>
      </c>
      <c r="N19" s="18"/>
      <c r="O19" s="18">
        <f>-(K19-H19)+O18</f>
        <v>-2548</v>
      </c>
      <c r="P19" s="18"/>
      <c r="Q19" s="18">
        <f>1+Q18</f>
        <v>16</v>
      </c>
    </row>
    <row r="20" ht="20.05" customHeight="1">
      <c r="B20" s="31">
        <v>2019</v>
      </c>
      <c r="C20" s="41">
        <f>#REF!</f>
      </c>
      <c r="D20" s="41">
        <f>#REF!</f>
      </c>
      <c r="E20" s="17">
        <v>7214</v>
      </c>
      <c r="F20" s="18">
        <v>296.6</v>
      </c>
      <c r="G20" s="18">
        <v>-118.7</v>
      </c>
      <c r="H20" s="18"/>
      <c r="I20" s="18"/>
      <c r="J20" s="18"/>
      <c r="K20" s="18">
        <v>-264.9</v>
      </c>
      <c r="L20" s="18">
        <f>F20+G20+H20</f>
        <v>177.9</v>
      </c>
      <c r="M20" s="18">
        <f>AVERAGE(L17:L20)</f>
        <v>-227.45</v>
      </c>
      <c r="N20" s="18"/>
      <c r="O20" s="18">
        <f>-(K20-H20)+O19</f>
        <v>-2283.1</v>
      </c>
      <c r="P20" s="18"/>
      <c r="Q20" s="18">
        <f>1+Q19</f>
        <v>17</v>
      </c>
    </row>
    <row r="21" ht="20.05" customHeight="1">
      <c r="B21" s="30"/>
      <c r="C21" s="41">
        <f>#REF!-#REF!</f>
      </c>
      <c r="D21" s="41">
        <f>#REF!-#REF!</f>
      </c>
      <c r="E21" s="17">
        <v>8435</v>
      </c>
      <c r="F21" s="18">
        <v>1483.4</v>
      </c>
      <c r="G21" s="18">
        <v>-168.3</v>
      </c>
      <c r="H21" s="18"/>
      <c r="I21" s="18"/>
      <c r="J21" s="18"/>
      <c r="K21" s="18">
        <v>-1167.1</v>
      </c>
      <c r="L21" s="18">
        <f>F21+G21+H21</f>
        <v>1315.1</v>
      </c>
      <c r="M21" s="18">
        <f>AVERAGE(L18:L21)</f>
        <v>165.825</v>
      </c>
      <c r="N21" s="18"/>
      <c r="O21" s="18">
        <f>-(K21-H21)+O20</f>
        <v>-1116</v>
      </c>
      <c r="P21" s="18"/>
      <c r="Q21" s="18">
        <f>1+Q20</f>
        <v>18</v>
      </c>
    </row>
    <row r="22" ht="20.05" customHeight="1">
      <c r="B22" s="30"/>
      <c r="C22" s="41">
        <f>#REF!-#REF!</f>
      </c>
      <c r="D22" s="41">
        <f>#REF!-#REF!</f>
      </c>
      <c r="E22" s="17">
        <v>8275</v>
      </c>
      <c r="F22" s="18">
        <v>692</v>
      </c>
      <c r="G22" s="18">
        <v>-138</v>
      </c>
      <c r="H22" s="18"/>
      <c r="I22" s="18"/>
      <c r="J22" s="18"/>
      <c r="K22" s="18">
        <v>-221</v>
      </c>
      <c r="L22" s="18">
        <f>F22+G22+H22</f>
        <v>554</v>
      </c>
      <c r="M22" s="18">
        <f>AVERAGE(L19:L22)</f>
        <v>651.9</v>
      </c>
      <c r="N22" s="18"/>
      <c r="O22" s="18">
        <f>-(K22-H22)+O21</f>
        <v>-895</v>
      </c>
      <c r="P22" s="18"/>
      <c r="Q22" s="18">
        <f>1+Q21</f>
        <v>19</v>
      </c>
    </row>
    <row r="23" ht="20.05" customHeight="1">
      <c r="B23" s="30"/>
      <c r="C23" s="41">
        <f>#REF!-#REF!</f>
      </c>
      <c r="D23" s="41">
        <f>#REF!-#REF!</f>
      </c>
      <c r="E23" s="17">
        <v>9475</v>
      </c>
      <c r="F23" s="18">
        <v>-41.21</v>
      </c>
      <c r="G23" s="18">
        <v>47.993</v>
      </c>
      <c r="H23" s="18"/>
      <c r="I23" s="18"/>
      <c r="J23" s="18"/>
      <c r="K23" s="18">
        <v>-208.393</v>
      </c>
      <c r="L23" s="18">
        <f>F23+G23+H23</f>
        <v>6.783</v>
      </c>
      <c r="M23" s="18">
        <f>AVERAGE(L20:L23)</f>
        <v>513.44575</v>
      </c>
      <c r="N23" s="18"/>
      <c r="O23" s="18">
        <f>-(K23-H23)+O22</f>
        <v>-686.607</v>
      </c>
      <c r="P23" s="18"/>
      <c r="Q23" s="18">
        <f>1+Q22</f>
        <v>20</v>
      </c>
    </row>
    <row r="24" ht="20.05" customHeight="1">
      <c r="B24" s="31">
        <v>2020</v>
      </c>
      <c r="C24" s="41">
        <f>#REF!</f>
      </c>
      <c r="D24" s="41">
        <f>#REF!</f>
      </c>
      <c r="E24" s="17">
        <v>8035</v>
      </c>
      <c r="F24" s="18">
        <v>350</v>
      </c>
      <c r="G24" s="18">
        <v>-243</v>
      </c>
      <c r="H24" s="18">
        <v>-66</v>
      </c>
      <c r="I24" s="18"/>
      <c r="J24" s="18"/>
      <c r="K24" s="18">
        <v>-208</v>
      </c>
      <c r="L24" s="18">
        <f>F24+G24+H24</f>
        <v>41</v>
      </c>
      <c r="M24" s="18">
        <f>AVERAGE(L21:L24)</f>
        <v>479.22075</v>
      </c>
      <c r="N24" s="18"/>
      <c r="O24" s="18">
        <f>-(K24-H24)+O23</f>
        <v>-544.607</v>
      </c>
      <c r="P24" s="18"/>
      <c r="Q24" s="18">
        <f>1+Q23</f>
        <v>21</v>
      </c>
    </row>
    <row r="25" ht="20.05" customHeight="1">
      <c r="B25" s="30"/>
      <c r="C25" s="41"/>
      <c r="D25" s="41"/>
      <c r="E25" s="17">
        <v>6689</v>
      </c>
      <c r="F25" s="18">
        <v>1984.84</v>
      </c>
      <c r="G25" s="18">
        <v>-79.3</v>
      </c>
      <c r="H25" s="18">
        <v>-66</v>
      </c>
      <c r="I25" s="18"/>
      <c r="J25" s="18"/>
      <c r="K25" s="18">
        <v>-715.13</v>
      </c>
      <c r="L25" s="18">
        <f>F25+G25+H25</f>
        <v>1839.54</v>
      </c>
      <c r="M25" s="18">
        <f>AVERAGE(L22:L25)</f>
        <v>610.33075</v>
      </c>
      <c r="N25" s="18"/>
      <c r="O25" s="18">
        <f>-(K25-H25)+O24</f>
        <v>104.523</v>
      </c>
      <c r="P25" s="18"/>
      <c r="Q25" s="18">
        <f>1+Q24</f>
        <v>22</v>
      </c>
    </row>
    <row r="26" ht="20.05" customHeight="1">
      <c r="B26" s="30"/>
      <c r="C26" s="41"/>
      <c r="D26" s="41"/>
      <c r="E26" s="17">
        <v>8723</v>
      </c>
      <c r="F26" s="18">
        <v>-1110.84</v>
      </c>
      <c r="G26" s="18">
        <v>-146.7</v>
      </c>
      <c r="H26" s="18">
        <v>-66</v>
      </c>
      <c r="I26" s="18"/>
      <c r="J26" s="18"/>
      <c r="K26" s="18">
        <v>525.13</v>
      </c>
      <c r="L26" s="18">
        <f>F26+G26+H26</f>
        <v>-1323.54</v>
      </c>
      <c r="M26" s="18">
        <f>AVERAGE(L23:L26)</f>
        <v>140.94575</v>
      </c>
      <c r="N26" s="18"/>
      <c r="O26" s="18">
        <f>-(K26-H26)+O25</f>
        <v>-486.607</v>
      </c>
      <c r="P26" s="18"/>
      <c r="Q26" s="18">
        <f>1+Q25</f>
        <v>23</v>
      </c>
    </row>
    <row r="27" ht="20.05" customHeight="1">
      <c r="B27" s="30"/>
      <c r="C27" s="41"/>
      <c r="D27" s="41"/>
      <c r="E27" s="17">
        <v>10573.1</v>
      </c>
      <c r="F27" s="18">
        <v>1628.7</v>
      </c>
      <c r="G27" s="18">
        <v>93.90000000000001</v>
      </c>
      <c r="H27" s="18">
        <v>-66</v>
      </c>
      <c r="I27" s="18"/>
      <c r="J27" s="18"/>
      <c r="K27" s="18">
        <v>-903.6</v>
      </c>
      <c r="L27" s="18">
        <f>F27+G27+H27</f>
        <v>1656.6</v>
      </c>
      <c r="M27" s="18">
        <f>AVERAGE(L24:L27)</f>
        <v>553.4</v>
      </c>
      <c r="N27" s="18"/>
      <c r="O27" s="18">
        <f>-(K27-H27)+O26</f>
        <v>350.993</v>
      </c>
      <c r="P27" s="18"/>
      <c r="Q27" s="18">
        <f>1+Q26</f>
        <v>24</v>
      </c>
    </row>
    <row r="28" ht="20.05" customHeight="1">
      <c r="B28" s="31">
        <v>2021</v>
      </c>
      <c r="C28" s="41"/>
      <c r="D28" s="41"/>
      <c r="E28" s="17">
        <v>11041.7</v>
      </c>
      <c r="F28" s="18">
        <v>-2209.8</v>
      </c>
      <c r="G28" s="18">
        <v>-202.2</v>
      </c>
      <c r="H28" s="18">
        <v>-100.25</v>
      </c>
      <c r="I28" s="18">
        <f>1502.316-H28</f>
        <v>1602.566</v>
      </c>
      <c r="J28" s="18"/>
      <c r="K28" s="18">
        <f>1502.3</f>
        <v>1502.3</v>
      </c>
      <c r="L28" s="18">
        <f>F28+G28+H28</f>
        <v>-2512.25</v>
      </c>
      <c r="M28" s="18">
        <f>AVERAGE(L25:L28)</f>
        <v>-84.91249999999999</v>
      </c>
      <c r="N28" s="18"/>
      <c r="O28" s="18">
        <f>-(K28-H28)+O27</f>
        <v>-1251.557</v>
      </c>
      <c r="P28" s="18"/>
      <c r="Q28" s="18">
        <f>1+Q27</f>
        <v>25</v>
      </c>
    </row>
    <row r="29" ht="20.05" customHeight="1">
      <c r="B29" s="30"/>
      <c r="C29" s="41"/>
      <c r="D29" s="41"/>
      <c r="E29" s="17">
        <f>21632.5-E28</f>
        <v>10590.8</v>
      </c>
      <c r="F29" s="18">
        <f>-1818.3-F28</f>
        <v>391.5</v>
      </c>
      <c r="G29" s="18">
        <f>-428.9-G28</f>
        <v>-226.7</v>
      </c>
      <c r="H29" s="18">
        <v>-100.25</v>
      </c>
      <c r="I29" s="18">
        <f>856.958-I28-J29-J28</f>
        <v>-518.997</v>
      </c>
      <c r="J29" s="18">
        <f>-219.398-1.215-5.998</f>
        <v>-226.611</v>
      </c>
      <c r="K29" s="18">
        <f>857-K28</f>
        <v>-645.3</v>
      </c>
      <c r="L29" s="18">
        <f>F29+G29+H29</f>
        <v>64.55</v>
      </c>
      <c r="M29" s="18">
        <f>AVERAGE(L26:L29)</f>
        <v>-528.66</v>
      </c>
      <c r="N29" s="18"/>
      <c r="O29" s="18">
        <f>-(K29-H29)+O28</f>
        <v>-706.5069999999999</v>
      </c>
      <c r="P29" s="18"/>
      <c r="Q29" s="18">
        <f>1+Q28</f>
        <v>26</v>
      </c>
    </row>
    <row r="30" ht="20.05" customHeight="1">
      <c r="B30" s="30"/>
      <c r="C30" s="41"/>
      <c r="D30" s="41"/>
      <c r="E30" s="17">
        <f>31281.4-SUM(E28:E29)</f>
        <v>9648.9</v>
      </c>
      <c r="F30" s="18">
        <f>-211.8-SUM(F28:F29)</f>
        <v>1606.5</v>
      </c>
      <c r="G30" s="18">
        <f>-780.6-SUM(G28:G29)</f>
        <v>-351.7</v>
      </c>
      <c r="H30" s="18">
        <v>-100.25</v>
      </c>
      <c r="I30" s="18">
        <f>463.631-I29-I28-J30-J29</f>
        <v>-421.864</v>
      </c>
      <c r="J30" s="18">
        <f>-219.398-1.215-J29-5.998+28.537</f>
        <v>28.537</v>
      </c>
      <c r="K30" s="18">
        <f>463.6-SUM(K28:K29)</f>
        <v>-393.4</v>
      </c>
      <c r="L30" s="18">
        <f>F30+G30+H30</f>
        <v>1154.55</v>
      </c>
      <c r="M30" s="18">
        <f>AVERAGE(L27:L30)</f>
        <v>90.8625</v>
      </c>
      <c r="N30" s="18"/>
      <c r="O30" s="18">
        <f>-(K30-H30)+O29</f>
        <v>-413.357</v>
      </c>
      <c r="P30" s="18"/>
      <c r="Q30" s="18">
        <f>1+Q29</f>
        <v>27</v>
      </c>
    </row>
    <row r="31" ht="20.05" customHeight="1">
      <c r="B31" s="30"/>
      <c r="C31" s="41"/>
      <c r="D31" s="41"/>
      <c r="E31" s="17">
        <f>43866-SUM(E28:E30)</f>
        <v>12584.6</v>
      </c>
      <c r="F31" s="18">
        <f>21.7-SUM(F28:F30)</f>
        <v>233.5</v>
      </c>
      <c r="G31" s="18">
        <f>-515.8-SUM(G28:G30)</f>
        <v>264.8</v>
      </c>
      <c r="H31" s="18">
        <v>-100.25</v>
      </c>
      <c r="I31" s="18">
        <f>K31-J31-H31</f>
        <v>16.176</v>
      </c>
      <c r="J31" s="18">
        <f>59-219.4-9-6-166.5-SUM(J28:J30)</f>
        <v>-143.826</v>
      </c>
      <c r="K31" s="18">
        <f>235.7-SUM(K28:K30)</f>
        <v>-227.9</v>
      </c>
      <c r="L31" s="18">
        <f>F31+G31+H31</f>
        <v>398.05</v>
      </c>
      <c r="M31" s="18">
        <f>AVERAGE(L28:L31)</f>
        <v>-223.775</v>
      </c>
      <c r="N31" s="18"/>
      <c r="O31" s="18">
        <f>-(K31-H31)+O30</f>
        <v>-285.707</v>
      </c>
      <c r="P31" s="18"/>
      <c r="Q31" s="18">
        <f>1+Q30</f>
        <v>28</v>
      </c>
    </row>
    <row r="32" ht="20.05" customHeight="1">
      <c r="B32" s="31">
        <v>2022</v>
      </c>
      <c r="C32" s="41"/>
      <c r="D32" s="41"/>
      <c r="E32" s="17">
        <v>11262.1</v>
      </c>
      <c r="F32" s="18">
        <v>-650.5</v>
      </c>
      <c r="G32" s="18">
        <v>-218</v>
      </c>
      <c r="H32" s="18">
        <v>-0.127</v>
      </c>
      <c r="I32" s="18">
        <f>K32-H32-J32</f>
        <v>437.625</v>
      </c>
      <c r="J32" s="18">
        <v>0.002</v>
      </c>
      <c r="K32" s="18">
        <v>437.5</v>
      </c>
      <c r="L32" s="18">
        <f>F32+G32+H32</f>
        <v>-868.627</v>
      </c>
      <c r="M32" s="18">
        <f>AVERAGE(L29:L32)</f>
        <v>187.13075</v>
      </c>
      <c r="N32" s="18">
        <v>387.9299844132</v>
      </c>
      <c r="O32" s="18">
        <f>-(K32-H32)+O31</f>
        <v>-723.3339999999999</v>
      </c>
      <c r="P32" s="18">
        <v>912.860610298870</v>
      </c>
      <c r="Q32" s="18">
        <f>1+Q31</f>
        <v>29</v>
      </c>
    </row>
    <row r="33" ht="20.05" customHeight="1">
      <c r="B33" s="30"/>
      <c r="C33" s="41"/>
      <c r="D33" s="41"/>
      <c r="E33" s="17"/>
      <c r="F33" s="18"/>
      <c r="G33" s="18"/>
      <c r="H33" s="18"/>
      <c r="I33" s="18"/>
      <c r="J33" s="18"/>
      <c r="K33" s="18"/>
      <c r="L33" s="18"/>
      <c r="M33" s="23"/>
      <c r="N33" s="18">
        <f>SUM('Model'!F9:F10)</f>
        <v>249.6225942034</v>
      </c>
      <c r="O33" s="23"/>
      <c r="P33" s="18">
        <f>'Model'!F33</f>
        <v>246.4608109222</v>
      </c>
      <c r="Q33" s="18"/>
    </row>
  </sheetData>
  <mergeCells count="1">
    <mergeCell ref="B2:Q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29688" style="42" customWidth="1"/>
    <col min="2" max="10" width="9.09375" style="42" customWidth="1"/>
    <col min="11" max="16384" width="16.3516" style="42" customWidth="1"/>
  </cols>
  <sheetData>
    <row r="1" ht="27.65" customHeight="1">
      <c r="A1" t="s" s="2">
        <v>22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5">
        <v>1</v>
      </c>
      <c r="B2" t="s" s="5">
        <v>52</v>
      </c>
      <c r="C2" t="s" s="5">
        <v>53</v>
      </c>
      <c r="D2" t="s" s="5">
        <v>54</v>
      </c>
      <c r="E2" t="s" s="5">
        <v>55</v>
      </c>
      <c r="F2" t="s" s="5">
        <v>11</v>
      </c>
      <c r="G2" t="s" s="5">
        <v>14</v>
      </c>
      <c r="H2" t="s" s="5">
        <v>28</v>
      </c>
      <c r="I2" t="s" s="5">
        <v>56</v>
      </c>
      <c r="J2" t="s" s="5">
        <v>37</v>
      </c>
    </row>
    <row r="3" ht="20.25" customHeight="1">
      <c r="A3" s="26">
        <v>2015</v>
      </c>
      <c r="B3" s="39">
        <v>174.9</v>
      </c>
      <c r="C3" s="40">
        <v>6257.5</v>
      </c>
      <c r="D3" s="40">
        <f>C3-B3</f>
        <v>6082.6</v>
      </c>
      <c r="E3" s="40"/>
      <c r="F3" s="40">
        <v>3170</v>
      </c>
      <c r="G3" s="40">
        <v>3088</v>
      </c>
      <c r="H3" s="40">
        <f>F3+G3-B3-D3</f>
        <v>0.5</v>
      </c>
      <c r="I3" s="40">
        <f>B3-F3</f>
        <v>-2995.1</v>
      </c>
      <c r="J3" s="40"/>
    </row>
    <row r="4" ht="20.05" customHeight="1">
      <c r="A4" s="30"/>
      <c r="B4" s="17">
        <v>84.2</v>
      </c>
      <c r="C4" s="18">
        <v>6564.5</v>
      </c>
      <c r="D4" s="18">
        <f>C4-B4</f>
        <v>6480.3</v>
      </c>
      <c r="E4" s="18"/>
      <c r="F4" s="18">
        <v>3491</v>
      </c>
      <c r="G4" s="18">
        <v>3074</v>
      </c>
      <c r="H4" s="18">
        <f>F4+G4-B4-D4</f>
        <v>0.5</v>
      </c>
      <c r="I4" s="18">
        <f>B4-F4</f>
        <v>-3406.8</v>
      </c>
      <c r="J4" s="18"/>
    </row>
    <row r="5" ht="20.05" customHeight="1">
      <c r="A5" s="30"/>
      <c r="B5" s="17">
        <v>90.8</v>
      </c>
      <c r="C5" s="18">
        <v>6413.3</v>
      </c>
      <c r="D5" s="18">
        <f>C5-B5</f>
        <v>6322.5</v>
      </c>
      <c r="E5" s="18"/>
      <c r="F5" s="18">
        <v>3291</v>
      </c>
      <c r="G5" s="18">
        <v>3122</v>
      </c>
      <c r="H5" s="18">
        <f>F5+G5-B5-D5</f>
        <v>-0.3</v>
      </c>
      <c r="I5" s="18">
        <f>B5-F5</f>
        <v>-3200.2</v>
      </c>
      <c r="J5" s="18"/>
    </row>
    <row r="6" ht="20.05" customHeight="1">
      <c r="A6" s="30"/>
      <c r="B6" s="17">
        <v>126.8</v>
      </c>
      <c r="C6" s="18">
        <v>7800.3</v>
      </c>
      <c r="D6" s="18">
        <f>C6-B6</f>
        <v>7673.5</v>
      </c>
      <c r="E6" s="18"/>
      <c r="F6" s="18">
        <v>4595</v>
      </c>
      <c r="G6" s="18">
        <v>3205</v>
      </c>
      <c r="H6" s="18">
        <f>F6+G6-B6-D6</f>
        <v>-0.3</v>
      </c>
      <c r="I6" s="18">
        <f>B6-F6</f>
        <v>-4468.2</v>
      </c>
      <c r="J6" s="18"/>
    </row>
    <row r="7" ht="20.05" customHeight="1">
      <c r="A7" s="31">
        <v>2016</v>
      </c>
      <c r="B7" s="17">
        <v>86</v>
      </c>
      <c r="C7" s="18">
        <v>7627.4</v>
      </c>
      <c r="D7" s="18">
        <f>C7-B7</f>
        <v>7541.4</v>
      </c>
      <c r="E7" s="18"/>
      <c r="F7" s="18">
        <v>4362</v>
      </c>
      <c r="G7" s="18">
        <v>3265</v>
      </c>
      <c r="H7" s="18">
        <f>F7+G7-B7-D7</f>
        <v>-0.4</v>
      </c>
      <c r="I7" s="18">
        <f>B7-F7</f>
        <v>-4276</v>
      </c>
      <c r="J7" s="18"/>
    </row>
    <row r="8" ht="20.05" customHeight="1">
      <c r="A8" s="30"/>
      <c r="B8" s="17">
        <v>151.3</v>
      </c>
      <c r="C8" s="18">
        <v>7590.8</v>
      </c>
      <c r="D8" s="18">
        <f>C8-B8</f>
        <v>7439.5</v>
      </c>
      <c r="E8" s="18"/>
      <c r="F8" s="18">
        <v>4319</v>
      </c>
      <c r="G8" s="18">
        <v>3271</v>
      </c>
      <c r="H8" s="18">
        <f>F8+G8-B8-D8</f>
        <v>-0.8</v>
      </c>
      <c r="I8" s="18">
        <f>B8-F8</f>
        <v>-4167.7</v>
      </c>
      <c r="J8" s="18"/>
    </row>
    <row r="9" ht="20.05" customHeight="1">
      <c r="A9" s="30"/>
      <c r="B9" s="17">
        <v>108.2</v>
      </c>
      <c r="C9" s="18">
        <v>6722.7</v>
      </c>
      <c r="D9" s="18">
        <f>C9-B9</f>
        <v>6614.5</v>
      </c>
      <c r="E9" s="18"/>
      <c r="F9" s="18">
        <v>3385</v>
      </c>
      <c r="G9" s="18">
        <v>3337</v>
      </c>
      <c r="H9" s="18">
        <f>F9+G9-B9-D9</f>
        <v>-0.7</v>
      </c>
      <c r="I9" s="18">
        <f>B9-F9</f>
        <v>-3276.8</v>
      </c>
      <c r="J9" s="18"/>
    </row>
    <row r="10" ht="20.05" customHeight="1">
      <c r="A10" s="30"/>
      <c r="B10" s="17">
        <v>614.5</v>
      </c>
      <c r="C10" s="18">
        <v>7424.6</v>
      </c>
      <c r="D10" s="18">
        <f>C10-B10</f>
        <v>6810.1</v>
      </c>
      <c r="E10" s="18"/>
      <c r="F10" s="18">
        <v>4015</v>
      </c>
      <c r="G10" s="18">
        <v>3409</v>
      </c>
      <c r="H10" s="18">
        <f>F10+G10-B10-D10</f>
        <v>-0.6</v>
      </c>
      <c r="I10" s="18">
        <f>B10-F10</f>
        <v>-3400.5</v>
      </c>
      <c r="J10" s="18"/>
    </row>
    <row r="11" ht="20.05" customHeight="1">
      <c r="A11" s="31">
        <v>2017</v>
      </c>
      <c r="B11" s="17">
        <v>92.5</v>
      </c>
      <c r="C11" s="18">
        <v>7554.3</v>
      </c>
      <c r="D11" s="18">
        <f>C11-B11</f>
        <v>7461.8</v>
      </c>
      <c r="E11" s="18"/>
      <c r="F11" s="18">
        <v>4077</v>
      </c>
      <c r="G11" s="18">
        <v>3478</v>
      </c>
      <c r="H11" s="18">
        <f>F11+G11-B11-D11</f>
        <v>0.7</v>
      </c>
      <c r="I11" s="18">
        <f>B11-F11</f>
        <v>-3984.5</v>
      </c>
      <c r="J11" s="18"/>
    </row>
    <row r="12" ht="20.05" customHeight="1">
      <c r="A12" s="30"/>
      <c r="B12" s="17">
        <v>312.9</v>
      </c>
      <c r="C12" s="18">
        <v>7413.5</v>
      </c>
      <c r="D12" s="18">
        <f>C12-B12</f>
        <v>7100.6</v>
      </c>
      <c r="E12" s="18"/>
      <c r="F12" s="18">
        <v>3860</v>
      </c>
      <c r="G12" s="18">
        <v>3554</v>
      </c>
      <c r="H12" s="18">
        <f>F12+G12-B12-D12</f>
        <v>0.5</v>
      </c>
      <c r="I12" s="18">
        <f>B12-F12</f>
        <v>-3547.1</v>
      </c>
      <c r="J12" s="18"/>
    </row>
    <row r="13" ht="20.05" customHeight="1">
      <c r="A13" s="30"/>
      <c r="B13" s="17">
        <v>144.8</v>
      </c>
      <c r="C13" s="18">
        <v>7248.2</v>
      </c>
      <c r="D13" s="18">
        <f>C13-B13</f>
        <v>7103.4</v>
      </c>
      <c r="E13" s="18"/>
      <c r="F13" s="18">
        <v>3669</v>
      </c>
      <c r="G13" s="18">
        <v>3579</v>
      </c>
      <c r="H13" s="18">
        <f>F13+G13-B13-D13</f>
        <v>-0.2</v>
      </c>
      <c r="I13" s="18">
        <f>B13-F13</f>
        <v>-3524.2</v>
      </c>
      <c r="J13" s="18"/>
    </row>
    <row r="14" ht="20.05" customHeight="1">
      <c r="A14" s="30"/>
      <c r="B14" s="17">
        <v>366.4</v>
      </c>
      <c r="C14" s="18">
        <v>8873.9</v>
      </c>
      <c r="D14" s="18">
        <f>C14-B14</f>
        <v>8507.5</v>
      </c>
      <c r="E14" s="22"/>
      <c r="F14" s="18">
        <v>5168</v>
      </c>
      <c r="G14" s="18">
        <v>3707</v>
      </c>
      <c r="H14" s="18">
        <f>F14+G14-B14-D14</f>
        <v>1.1</v>
      </c>
      <c r="I14" s="18">
        <f>B14-F14</f>
        <v>-4801.6</v>
      </c>
      <c r="J14" s="18"/>
    </row>
    <row r="15" ht="20.05" customHeight="1">
      <c r="A15" s="31">
        <v>2018</v>
      </c>
      <c r="B15" s="17">
        <v>299.5</v>
      </c>
      <c r="C15" s="18">
        <v>10731.8</v>
      </c>
      <c r="D15" s="18">
        <f>C15-B15</f>
        <v>10432.3</v>
      </c>
      <c r="E15" s="22"/>
      <c r="F15" s="18">
        <v>6805</v>
      </c>
      <c r="G15" s="18">
        <v>3926</v>
      </c>
      <c r="H15" s="18">
        <f>F15+G15-B15-D15</f>
        <v>-0.8</v>
      </c>
      <c r="I15" s="18">
        <f>B15-F15</f>
        <v>-6505.5</v>
      </c>
      <c r="J15" s="18"/>
    </row>
    <row r="16" ht="20.05" customHeight="1">
      <c r="A16" s="30"/>
      <c r="B16" s="17">
        <v>288.2</v>
      </c>
      <c r="C16" s="18">
        <v>11928</v>
      </c>
      <c r="D16" s="18">
        <f>C16-B16</f>
        <v>11639.8</v>
      </c>
      <c r="E16" s="22"/>
      <c r="F16" s="18">
        <v>7587</v>
      </c>
      <c r="G16" s="18">
        <v>4341</v>
      </c>
      <c r="H16" s="18">
        <f>F16+G16-B16-D16</f>
        <v>0</v>
      </c>
      <c r="I16" s="18">
        <f>B16-F16</f>
        <v>-7298.8</v>
      </c>
      <c r="J16" s="18"/>
    </row>
    <row r="17" ht="20.05" customHeight="1">
      <c r="A17" s="30"/>
      <c r="B17" s="17">
        <v>321.1</v>
      </c>
      <c r="C17" s="18">
        <v>12325</v>
      </c>
      <c r="D17" s="18">
        <f>C17-B17</f>
        <v>12003.9</v>
      </c>
      <c r="E17" s="22"/>
      <c r="F17" s="18">
        <v>7784</v>
      </c>
      <c r="G17" s="18">
        <v>4542</v>
      </c>
      <c r="H17" s="18">
        <f>F17+G17-B17-D17</f>
        <v>1</v>
      </c>
      <c r="I17" s="18">
        <f>B17-F17</f>
        <v>-7462.9</v>
      </c>
      <c r="J17" s="18"/>
    </row>
    <row r="18" ht="20.05" customHeight="1">
      <c r="A18" s="30"/>
      <c r="B18" s="17">
        <v>272</v>
      </c>
      <c r="C18" s="18">
        <v>12683</v>
      </c>
      <c r="D18" s="18">
        <f>C18-B18</f>
        <v>12411</v>
      </c>
      <c r="E18" s="22"/>
      <c r="F18" s="18">
        <v>7858</v>
      </c>
      <c r="G18" s="18">
        <v>4826</v>
      </c>
      <c r="H18" s="18">
        <f>F18+G18-B18-D18</f>
        <v>1</v>
      </c>
      <c r="I18" s="18">
        <f>B18-F18</f>
        <v>-7586</v>
      </c>
      <c r="J18" s="18"/>
    </row>
    <row r="19" ht="20.05" customHeight="1">
      <c r="A19" s="31">
        <v>2019</v>
      </c>
      <c r="B19" s="17">
        <v>331.3</v>
      </c>
      <c r="C19" s="18">
        <v>12288.8</v>
      </c>
      <c r="D19" s="18">
        <f>C19-B19</f>
        <v>11957.5</v>
      </c>
      <c r="E19" s="22"/>
      <c r="F19" s="18">
        <v>7396.4</v>
      </c>
      <c r="G19" s="18">
        <v>4892.4</v>
      </c>
      <c r="H19" s="18">
        <f>F19+G19-B19-D19</f>
        <v>0</v>
      </c>
      <c r="I19" s="18">
        <f>B19-F19</f>
        <v>-7065.1</v>
      </c>
      <c r="J19" s="22"/>
    </row>
    <row r="20" ht="20.05" customHeight="1">
      <c r="A20" s="30"/>
      <c r="B20" s="17">
        <v>386</v>
      </c>
      <c r="C20" s="18">
        <v>11140</v>
      </c>
      <c r="D20" s="18">
        <f>C20-B20</f>
        <v>10754</v>
      </c>
      <c r="E20" s="22"/>
      <c r="F20" s="18">
        <v>6338</v>
      </c>
      <c r="G20" s="18">
        <v>4802</v>
      </c>
      <c r="H20" s="18">
        <f>F20+G20-B20-D20</f>
        <v>0</v>
      </c>
      <c r="I20" s="18">
        <f>B20-F20</f>
        <v>-5952</v>
      </c>
      <c r="J20" s="22"/>
    </row>
    <row r="21" ht="20.05" customHeight="1">
      <c r="A21" s="30"/>
      <c r="B21" s="17">
        <v>550</v>
      </c>
      <c r="C21" s="18">
        <v>9828</v>
      </c>
      <c r="D21" s="18">
        <f>C21-B21</f>
        <v>9278</v>
      </c>
      <c r="E21" s="22">
        <v>412</v>
      </c>
      <c r="F21" s="18">
        <v>4973</v>
      </c>
      <c r="G21" s="18">
        <v>4854</v>
      </c>
      <c r="H21" s="18">
        <f>F21+G21-B21-D21</f>
        <v>-1</v>
      </c>
      <c r="I21" s="18">
        <f>B21-F21</f>
        <v>-4423</v>
      </c>
      <c r="J21" s="22"/>
    </row>
    <row r="22" ht="20.05" customHeight="1">
      <c r="A22" s="30"/>
      <c r="B22" s="17">
        <v>571.288</v>
      </c>
      <c r="C22" s="18">
        <v>9747.701999999999</v>
      </c>
      <c r="D22" s="18">
        <f>C22-B22</f>
        <v>9176.414000000001</v>
      </c>
      <c r="E22" s="22">
        <v>457</v>
      </c>
      <c r="F22" s="18">
        <v>4768.986</v>
      </c>
      <c r="G22" s="18">
        <v>4978.7</v>
      </c>
      <c r="H22" s="18">
        <f>F22+G22-B22-D22</f>
        <v>-0.016</v>
      </c>
      <c r="I22" s="18">
        <f>B22-F22</f>
        <v>-4197.698</v>
      </c>
      <c r="J22" s="22"/>
    </row>
    <row r="23" ht="20.05" customHeight="1">
      <c r="A23" s="31">
        <v>2020</v>
      </c>
      <c r="B23" s="17">
        <v>217</v>
      </c>
      <c r="C23" s="18">
        <v>9944</v>
      </c>
      <c r="D23" s="18">
        <f>C23-B23</f>
        <v>9727</v>
      </c>
      <c r="E23" s="22">
        <v>494</v>
      </c>
      <c r="F23" s="18">
        <v>4760</v>
      </c>
      <c r="G23" s="18">
        <v>5184</v>
      </c>
      <c r="H23" s="18">
        <f>F23+G23-B23-D23</f>
        <v>0</v>
      </c>
      <c r="I23" s="18">
        <f>B23-F23</f>
        <v>-4543</v>
      </c>
      <c r="J23" s="22"/>
    </row>
    <row r="24" ht="20.05" customHeight="1">
      <c r="A24" s="30"/>
      <c r="B24" s="17">
        <v>721</v>
      </c>
      <c r="C24" s="18">
        <v>9064</v>
      </c>
      <c r="D24" s="18">
        <f>C24-B24</f>
        <v>8343</v>
      </c>
      <c r="E24" s="18">
        <v>515</v>
      </c>
      <c r="F24" s="18">
        <v>3908</v>
      </c>
      <c r="G24" s="18">
        <v>5155</v>
      </c>
      <c r="H24" s="18">
        <f>F24+G24-B24-D24</f>
        <v>-1</v>
      </c>
      <c r="I24" s="18">
        <f>B24-F24</f>
        <v>-3187</v>
      </c>
      <c r="J24" s="22"/>
    </row>
    <row r="25" ht="20.05" customHeight="1">
      <c r="A25" s="30"/>
      <c r="B25" s="17">
        <v>251</v>
      </c>
      <c r="C25" s="18">
        <v>9789</v>
      </c>
      <c r="D25" s="18">
        <f>C25-B25</f>
        <v>9538</v>
      </c>
      <c r="E25" s="22">
        <v>549</v>
      </c>
      <c r="F25" s="18">
        <v>4411</v>
      </c>
      <c r="G25" s="18">
        <v>5377</v>
      </c>
      <c r="H25" s="18">
        <f>F25+G25-B25-D25</f>
        <v>-1</v>
      </c>
      <c r="I25" s="18">
        <f>B25-F25</f>
        <v>-4160</v>
      </c>
      <c r="J25" s="18"/>
    </row>
    <row r="26" ht="20.05" customHeight="1">
      <c r="A26" s="30"/>
      <c r="B26" s="17">
        <v>2002</v>
      </c>
      <c r="C26" s="18">
        <v>11211</v>
      </c>
      <c r="D26" s="18">
        <f>C26-B26</f>
        <v>9209</v>
      </c>
      <c r="E26" s="22">
        <f>572+9</f>
        <v>581</v>
      </c>
      <c r="F26" s="18">
        <v>5523</v>
      </c>
      <c r="G26" s="18">
        <v>5688</v>
      </c>
      <c r="H26" s="18">
        <f>F26+G26-B26-D26</f>
        <v>0</v>
      </c>
      <c r="I26" s="18">
        <f>B26-F26</f>
        <v>-3521</v>
      </c>
      <c r="J26" s="22"/>
    </row>
    <row r="27" ht="20.05" customHeight="1">
      <c r="A27" s="31">
        <v>2021</v>
      </c>
      <c r="B27" s="17">
        <v>150</v>
      </c>
      <c r="C27" s="18">
        <v>11985</v>
      </c>
      <c r="D27" s="18">
        <f>C27-B27</f>
        <v>11835</v>
      </c>
      <c r="E27" s="22">
        <f>579+11</f>
        <v>590</v>
      </c>
      <c r="F27" s="18">
        <v>6062</v>
      </c>
      <c r="G27" s="18">
        <v>5923</v>
      </c>
      <c r="H27" s="18">
        <f>F27+G27-B27-D27</f>
        <v>0</v>
      </c>
      <c r="I27" s="18">
        <f>B27-F27</f>
        <v>-5912</v>
      </c>
      <c r="J27" s="18"/>
    </row>
    <row r="28" ht="20.05" customHeight="1">
      <c r="A28" s="30"/>
      <c r="B28" s="17">
        <v>158</v>
      </c>
      <c r="C28" s="18">
        <v>11476</v>
      </c>
      <c r="D28" s="18">
        <f>C28-B28</f>
        <v>11318</v>
      </c>
      <c r="E28" s="22">
        <f>604+16</f>
        <v>620</v>
      </c>
      <c r="F28" s="18">
        <v>5479</v>
      </c>
      <c r="G28" s="18">
        <v>5997</v>
      </c>
      <c r="H28" s="18">
        <f>F28+G28-B28-D28</f>
        <v>0</v>
      </c>
      <c r="I28" s="18">
        <f>B28-F28</f>
        <v>-5321</v>
      </c>
      <c r="J28" s="18"/>
    </row>
    <row r="29" ht="20.05" customHeight="1">
      <c r="A29" s="30"/>
      <c r="B29" s="17">
        <v>541</v>
      </c>
      <c r="C29" s="18">
        <v>11129</v>
      </c>
      <c r="D29" s="18">
        <f>C29-B29</f>
        <v>10588</v>
      </c>
      <c r="E29" s="22">
        <f>630+20</f>
        <v>650</v>
      </c>
      <c r="F29" s="18">
        <v>4946</v>
      </c>
      <c r="G29" s="18">
        <v>6183</v>
      </c>
      <c r="H29" s="18">
        <f>F29+G29-B29-D29</f>
        <v>0</v>
      </c>
      <c r="I29" s="18">
        <f>B29-F29</f>
        <v>-4405</v>
      </c>
      <c r="J29" s="18"/>
    </row>
    <row r="30" ht="20.05" customHeight="1">
      <c r="A30" s="30"/>
      <c r="B30" s="17">
        <v>521</v>
      </c>
      <c r="C30" s="18">
        <v>11372</v>
      </c>
      <c r="D30" s="18">
        <f>C30-B30</f>
        <v>10851</v>
      </c>
      <c r="E30" s="22">
        <f>23+653+3</f>
        <v>679</v>
      </c>
      <c r="F30" s="18">
        <v>4910</v>
      </c>
      <c r="G30" s="18">
        <v>6462</v>
      </c>
      <c r="H30" s="18">
        <f>F30+G30-B30-D30</f>
        <v>0</v>
      </c>
      <c r="I30" s="18">
        <f>B30-F30</f>
        <v>-4389</v>
      </c>
      <c r="J30" s="18"/>
    </row>
    <row r="31" ht="20.05" customHeight="1">
      <c r="A31" s="31">
        <v>2022</v>
      </c>
      <c r="B31" s="17">
        <v>425</v>
      </c>
      <c r="C31" s="18">
        <v>14212</v>
      </c>
      <c r="D31" s="18">
        <f>C31-B31</f>
        <v>13787</v>
      </c>
      <c r="E31" s="22">
        <f>28+691+3</f>
        <v>722</v>
      </c>
      <c r="F31" s="18">
        <v>7437</v>
      </c>
      <c r="G31" s="18">
        <v>6775</v>
      </c>
      <c r="H31" s="18">
        <f>F31+G31-B31-D31</f>
        <v>0</v>
      </c>
      <c r="I31" s="18">
        <f>B31-F31</f>
        <v>-7012</v>
      </c>
      <c r="J31" s="18">
        <v>-3326.882305135970</v>
      </c>
    </row>
    <row r="32" ht="20.05" customHeight="1">
      <c r="A32" s="30"/>
      <c r="B32" s="17"/>
      <c r="C32" s="18"/>
      <c r="D32" s="18"/>
      <c r="E32" s="22"/>
      <c r="F32" s="18"/>
      <c r="G32" s="18"/>
      <c r="H32" s="18"/>
      <c r="I32" s="18"/>
      <c r="J32" s="18">
        <f>'Model'!F31</f>
        <v>-6042.2051890778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8594" style="43" customWidth="1"/>
    <col min="2" max="2" width="5.26562" style="43" customWidth="1"/>
    <col min="3" max="4" width="9.89844" style="43" customWidth="1"/>
    <col min="5" max="16384" width="16.3516" style="43" customWidth="1"/>
  </cols>
  <sheetData>
    <row r="1" ht="51.05" customHeight="1"/>
    <row r="2" ht="27.65" customHeight="1">
      <c r="B2" t="s" s="2">
        <v>57</v>
      </c>
      <c r="C2" s="2"/>
      <c r="D2" s="2"/>
    </row>
    <row r="3" ht="20.25" customHeight="1">
      <c r="B3" s="4"/>
      <c r="C3" t="s" s="36">
        <v>58</v>
      </c>
      <c r="D3" t="s" s="36">
        <v>40</v>
      </c>
    </row>
    <row r="4" ht="20.25" customHeight="1">
      <c r="B4" s="26">
        <v>2015</v>
      </c>
      <c r="C4" s="39"/>
      <c r="D4" s="40"/>
    </row>
    <row r="5" ht="20.05" customHeight="1">
      <c r="B5" s="30"/>
      <c r="C5" s="17">
        <v>91.68646200000001</v>
      </c>
      <c r="D5" s="18"/>
    </row>
    <row r="6" ht="20.05" customHeight="1">
      <c r="B6" s="30"/>
      <c r="C6" s="17">
        <v>111.770172</v>
      </c>
      <c r="D6" s="18"/>
    </row>
    <row r="7" ht="20.05" customHeight="1">
      <c r="B7" s="30"/>
      <c r="C7" s="17">
        <v>91.68646200000001</v>
      </c>
      <c r="D7" s="18"/>
    </row>
    <row r="8" ht="20.05" customHeight="1">
      <c r="B8" s="31">
        <v>2016</v>
      </c>
      <c r="C8" s="17">
        <v>128.361053</v>
      </c>
      <c r="D8" s="18"/>
    </row>
    <row r="9" ht="20.05" customHeight="1">
      <c r="B9" s="30"/>
      <c r="C9" s="17">
        <v>144.183517</v>
      </c>
      <c r="D9" s="18"/>
    </row>
    <row r="10" ht="20.05" customHeight="1">
      <c r="B10" s="30"/>
      <c r="C10" s="17">
        <v>118.050247</v>
      </c>
      <c r="D10" s="18"/>
    </row>
    <row r="11" ht="20.05" customHeight="1">
      <c r="B11" s="30"/>
      <c r="C11" s="17">
        <v>109.939926</v>
      </c>
      <c r="D11" s="18"/>
    </row>
    <row r="12" ht="20.05" customHeight="1">
      <c r="B12" s="31">
        <v>2017</v>
      </c>
      <c r="C12" s="17">
        <v>131.567459</v>
      </c>
      <c r="D12" s="18"/>
    </row>
    <row r="13" ht="20.05" customHeight="1">
      <c r="B13" s="30"/>
      <c r="C13" s="17">
        <v>115.346817</v>
      </c>
      <c r="D13" s="18"/>
    </row>
    <row r="14" ht="20.05" customHeight="1">
      <c r="B14" s="30"/>
      <c r="C14" s="17">
        <v>147.167145</v>
      </c>
      <c r="D14" s="18"/>
    </row>
    <row r="15" ht="20.05" customHeight="1">
      <c r="B15" s="30"/>
      <c r="C15" s="17">
        <v>156.481506</v>
      </c>
      <c r="D15" s="18"/>
    </row>
    <row r="16" ht="20.05" customHeight="1">
      <c r="B16" s="31">
        <v>2018</v>
      </c>
      <c r="C16" s="17">
        <v>318.551636</v>
      </c>
      <c r="D16" s="18"/>
    </row>
    <row r="17" ht="20.05" customHeight="1">
      <c r="B17" s="30"/>
      <c r="C17" s="17">
        <v>594.426514</v>
      </c>
      <c r="D17" s="18"/>
    </row>
    <row r="18" ht="20.05" customHeight="1">
      <c r="B18" s="30"/>
      <c r="C18" s="17">
        <v>323.886261</v>
      </c>
      <c r="D18" s="18"/>
    </row>
    <row r="19" ht="20.05" customHeight="1">
      <c r="B19" s="30"/>
      <c r="C19" s="17">
        <v>436.293823</v>
      </c>
      <c r="D19" s="18"/>
    </row>
    <row r="20" ht="20.05" customHeight="1">
      <c r="B20" s="31">
        <v>2019</v>
      </c>
      <c r="C20" s="17">
        <v>276.25592</v>
      </c>
      <c r="D20" s="18"/>
    </row>
    <row r="21" ht="20.05" customHeight="1">
      <c r="B21" s="30"/>
      <c r="C21" s="17">
        <v>420</v>
      </c>
      <c r="D21" s="18"/>
    </row>
    <row r="22" ht="20.05" customHeight="1">
      <c r="B22" s="30"/>
      <c r="C22" s="17">
        <v>352</v>
      </c>
      <c r="D22" s="18"/>
    </row>
    <row r="23" ht="20.05" customHeight="1">
      <c r="B23" s="30"/>
      <c r="C23" s="17">
        <v>318</v>
      </c>
      <c r="D23" s="18"/>
    </row>
    <row r="24" ht="20.05" customHeight="1">
      <c r="B24" s="31">
        <v>2020</v>
      </c>
      <c r="C24" s="17">
        <v>252</v>
      </c>
      <c r="D24" s="18"/>
    </row>
    <row r="25" ht="20.05" customHeight="1">
      <c r="B25" s="30"/>
      <c r="C25" s="17">
        <v>294</v>
      </c>
      <c r="D25" s="18"/>
    </row>
    <row r="26" ht="20.05" customHeight="1">
      <c r="B26" s="30"/>
      <c r="C26" s="17">
        <v>349</v>
      </c>
      <c r="D26" s="18"/>
    </row>
    <row r="27" ht="20.05" customHeight="1">
      <c r="B27" s="30"/>
      <c r="C27" s="17">
        <v>554</v>
      </c>
      <c r="D27" s="18"/>
    </row>
    <row r="28" ht="20.05" customHeight="1">
      <c r="B28" s="31">
        <v>2021</v>
      </c>
      <c r="C28" s="17">
        <v>505</v>
      </c>
      <c r="D28" s="18"/>
    </row>
    <row r="29" ht="20.05" customHeight="1">
      <c r="B29" s="30"/>
      <c r="C29" s="17">
        <v>690</v>
      </c>
      <c r="D29" s="18"/>
    </row>
    <row r="30" ht="20.05" customHeight="1">
      <c r="B30" s="30"/>
      <c r="C30" s="17">
        <v>605</v>
      </c>
      <c r="D30" s="18"/>
    </row>
    <row r="31" ht="20.05" customHeight="1">
      <c r="B31" s="30"/>
      <c r="C31" s="17">
        <v>600</v>
      </c>
      <c r="D31" s="18"/>
    </row>
    <row r="32" ht="20.05" customHeight="1">
      <c r="B32" s="31">
        <v>2022</v>
      </c>
      <c r="C32" s="17">
        <v>580</v>
      </c>
      <c r="D32" s="18">
        <v>770.929032470546</v>
      </c>
    </row>
    <row r="33" ht="20.05" customHeight="1">
      <c r="B33" s="30"/>
      <c r="C33" s="17">
        <v>510</v>
      </c>
      <c r="D33" s="18">
        <v>764.1726490301299</v>
      </c>
    </row>
    <row r="34" ht="20.05" customHeight="1">
      <c r="B34" s="30"/>
      <c r="C34" s="17"/>
      <c r="D34" s="18">
        <f>'Model'!F44</f>
        <v>609.9913860215009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7344" style="44" customWidth="1"/>
    <col min="2" max="11" width="12.8203" style="44" customWidth="1"/>
    <col min="12" max="16384" width="16.3516" style="44" customWidth="1"/>
  </cols>
  <sheetData>
    <row r="1" ht="8.75" customHeight="1"/>
    <row r="2" ht="27.65" customHeight="1">
      <c r="B2" t="s" s="2">
        <v>59</v>
      </c>
      <c r="C2" s="2"/>
      <c r="D2" s="2"/>
      <c r="E2" s="2"/>
      <c r="F2" s="2"/>
      <c r="G2" s="2"/>
      <c r="H2" s="2"/>
      <c r="I2" s="2"/>
      <c r="J2" s="2"/>
      <c r="K2" s="2"/>
    </row>
    <row r="3" ht="20.25" customHeight="1">
      <c r="B3" s="37"/>
      <c r="C3" t="s" s="5">
        <v>11</v>
      </c>
      <c r="D3" t="s" s="5">
        <v>14</v>
      </c>
      <c r="E3" t="s" s="5">
        <v>60</v>
      </c>
      <c r="F3" t="s" s="5">
        <v>11</v>
      </c>
      <c r="G3" t="s" s="5">
        <v>14</v>
      </c>
      <c r="H3" t="s" s="5">
        <v>60</v>
      </c>
      <c r="I3" s="4"/>
      <c r="J3" s="4"/>
      <c r="K3" s="4"/>
    </row>
    <row r="4" ht="20.25" customHeight="1">
      <c r="B4" s="26">
        <v>2010</v>
      </c>
      <c r="C4" s="39">
        <f>25-D4</f>
        <v>75</v>
      </c>
      <c r="D4" s="40">
        <v>-50</v>
      </c>
      <c r="E4" s="40">
        <f>C4+D4</f>
        <v>25</v>
      </c>
      <c r="F4" s="40">
        <f>C4</f>
        <v>75</v>
      </c>
      <c r="G4" s="40">
        <f>D4</f>
        <v>-50</v>
      </c>
      <c r="H4" s="40">
        <f>E4</f>
        <v>25</v>
      </c>
      <c r="I4" s="8"/>
      <c r="J4" s="8"/>
      <c r="K4" s="8"/>
    </row>
    <row r="5" ht="20.05" customHeight="1">
      <c r="B5" s="31">
        <f>1+$B4</f>
        <v>2011</v>
      </c>
      <c r="C5" s="17">
        <v>-144</v>
      </c>
      <c r="D5" s="18">
        <v>878</v>
      </c>
      <c r="E5" s="18">
        <f>C5+D5</f>
        <v>734</v>
      </c>
      <c r="F5" s="18">
        <f>C5+F4</f>
        <v>-69</v>
      </c>
      <c r="G5" s="18">
        <f>D5+G4</f>
        <v>828</v>
      </c>
      <c r="H5" s="18">
        <f>E5+H4</f>
        <v>759</v>
      </c>
      <c r="I5" s="23"/>
      <c r="J5" s="23"/>
      <c r="K5" s="23"/>
    </row>
    <row r="6" ht="20.05" customHeight="1">
      <c r="B6" s="31">
        <f>1+$B5</f>
        <v>2012</v>
      </c>
      <c r="C6" s="17">
        <v>171</v>
      </c>
      <c r="D6" s="18"/>
      <c r="E6" s="18">
        <f>C6+D7</f>
        <v>-3</v>
      </c>
      <c r="F6" s="18">
        <f>C6+F5</f>
        <v>102</v>
      </c>
      <c r="G6" s="18">
        <f>D6+G5</f>
        <v>828</v>
      </c>
      <c r="H6" s="18">
        <f>E6+H5</f>
        <v>756</v>
      </c>
      <c r="I6" s="23"/>
      <c r="J6" s="23"/>
      <c r="K6" s="23"/>
    </row>
    <row r="7" ht="20.05" customHeight="1">
      <c r="B7" s="31">
        <f>1+$B6</f>
        <v>2013</v>
      </c>
      <c r="C7" s="17">
        <v>425</v>
      </c>
      <c r="D7" s="18">
        <v>-174</v>
      </c>
      <c r="E7" s="18">
        <f>C7+D7</f>
        <v>251</v>
      </c>
      <c r="F7" s="18">
        <f>C7+F6</f>
        <v>527</v>
      </c>
      <c r="G7" s="18">
        <f>D7+G6</f>
        <v>654</v>
      </c>
      <c r="H7" s="18">
        <f>E7+H6</f>
        <v>1007</v>
      </c>
      <c r="I7" s="23"/>
      <c r="J7" s="23"/>
      <c r="K7" s="23"/>
    </row>
    <row r="8" ht="20.05" customHeight="1">
      <c r="B8" s="31">
        <f>1+$B7</f>
        <v>2014</v>
      </c>
      <c r="C8" s="17">
        <v>568</v>
      </c>
      <c r="D8" s="18">
        <v>29</v>
      </c>
      <c r="E8" s="18">
        <f>C8+D8</f>
        <v>597</v>
      </c>
      <c r="F8" s="18">
        <f>C8+F7</f>
        <v>1095</v>
      </c>
      <c r="G8" s="18">
        <f>D8+G7</f>
        <v>683</v>
      </c>
      <c r="H8" s="18">
        <f>E8+H7</f>
        <v>1604</v>
      </c>
      <c r="I8" s="23"/>
      <c r="J8" s="23"/>
      <c r="K8" s="23"/>
    </row>
    <row r="9" ht="20.05" customHeight="1">
      <c r="B9" s="31">
        <f>1+$B8</f>
        <v>2015</v>
      </c>
      <c r="C9" s="17">
        <v>-294</v>
      </c>
      <c r="D9" s="18">
        <f>-58+13</f>
        <v>-45</v>
      </c>
      <c r="E9" s="18">
        <f>C9+D9</f>
        <v>-339</v>
      </c>
      <c r="F9" s="18">
        <f>C9+F8</f>
        <v>801</v>
      </c>
      <c r="G9" s="18">
        <f>D9+G8</f>
        <v>638</v>
      </c>
      <c r="H9" s="18">
        <f>E9+H8</f>
        <v>1265</v>
      </c>
      <c r="I9" s="23"/>
      <c r="J9" s="23"/>
      <c r="K9" s="23"/>
    </row>
    <row r="10" ht="20.05" customHeight="1">
      <c r="B10" s="31">
        <f>1+$B9</f>
        <v>2016</v>
      </c>
      <c r="C10" s="17">
        <v>-780</v>
      </c>
      <c r="D10" s="18">
        <v>-58</v>
      </c>
      <c r="E10" s="18">
        <f>C10+D10</f>
        <v>-838</v>
      </c>
      <c r="F10" s="18">
        <f>C10+F9</f>
        <v>21</v>
      </c>
      <c r="G10" s="18">
        <f>D10+G9</f>
        <v>580</v>
      </c>
      <c r="H10" s="18">
        <f>E10+H9</f>
        <v>427</v>
      </c>
      <c r="I10" s="23"/>
      <c r="J10" s="23"/>
      <c r="K10" s="23"/>
    </row>
    <row r="11" ht="20.05" customHeight="1">
      <c r="B11" s="31">
        <f>1+$B10</f>
        <v>2017</v>
      </c>
      <c r="C11" s="17">
        <f>669-97</f>
        <v>572</v>
      </c>
      <c r="D11" s="18">
        <v>-52</v>
      </c>
      <c r="E11" s="18">
        <f>C11+D11</f>
        <v>520</v>
      </c>
      <c r="F11" s="18">
        <f>C11+F10</f>
        <v>593</v>
      </c>
      <c r="G11" s="18">
        <f>D11+G10</f>
        <v>528</v>
      </c>
      <c r="H11" s="18">
        <f>E11+H10</f>
        <v>947</v>
      </c>
      <c r="I11" s="23"/>
      <c r="J11" s="23"/>
      <c r="K11" s="23"/>
    </row>
    <row r="12" ht="20.05" customHeight="1">
      <c r="B12" s="31">
        <f>1+$B11</f>
        <v>2018</v>
      </c>
      <c r="C12" s="17">
        <f>2416-3</f>
        <v>2413</v>
      </c>
      <c r="D12" s="18">
        <v>180</v>
      </c>
      <c r="E12" s="18">
        <f>C12+D12</f>
        <v>2593</v>
      </c>
      <c r="F12" s="18">
        <f>C12+F11</f>
        <v>3006</v>
      </c>
      <c r="G12" s="18">
        <f>D12+G11</f>
        <v>708</v>
      </c>
      <c r="H12" s="18">
        <f>E12+H11</f>
        <v>3540</v>
      </c>
      <c r="I12" s="23"/>
      <c r="J12" s="23"/>
      <c r="K12" s="23"/>
    </row>
    <row r="13" ht="20.05" customHeight="1">
      <c r="B13" s="31">
        <f>1+$B12</f>
        <v>2019</v>
      </c>
      <c r="C13" s="17">
        <v>-1696</v>
      </c>
      <c r="D13" s="18">
        <f>-160-22</f>
        <v>-182</v>
      </c>
      <c r="E13" s="18">
        <f>C13+D13</f>
        <v>-1878</v>
      </c>
      <c r="F13" s="18">
        <f>C13+F12</f>
        <v>1310</v>
      </c>
      <c r="G13" s="18">
        <f>D13+G12</f>
        <v>526</v>
      </c>
      <c r="H13" s="18">
        <f>E13+H12</f>
        <v>1662</v>
      </c>
      <c r="I13" s="23"/>
      <c r="J13" s="23"/>
      <c r="K13" s="23"/>
    </row>
    <row r="14" ht="20.05" customHeight="1">
      <c r="B14" s="31">
        <f>1+$B13</f>
        <v>2020</v>
      </c>
      <c r="C14" s="17">
        <v>-1086</v>
      </c>
      <c r="D14" s="18">
        <f>-9-12-3</f>
        <v>-24</v>
      </c>
      <c r="E14" s="18">
        <f>C14+D14</f>
        <v>-1110</v>
      </c>
      <c r="F14" s="18">
        <f>C14+F13</f>
        <v>224</v>
      </c>
      <c r="G14" s="18">
        <f>D14+G13</f>
        <v>502</v>
      </c>
      <c r="H14" s="18">
        <f>E14+H13</f>
        <v>552</v>
      </c>
      <c r="I14" s="23"/>
      <c r="J14" s="23"/>
      <c r="K14" s="23"/>
    </row>
    <row r="15" ht="20.05" customHeight="1">
      <c r="B15" s="31">
        <f>1+$B14</f>
        <v>2021</v>
      </c>
      <c r="C15" s="17">
        <f>SUM('Cashflow'!I28:I31)</f>
        <v>677.881</v>
      </c>
      <c r="D15" s="18">
        <f>SUM('Cashflow'!J28:J31)</f>
        <v>-341.9</v>
      </c>
      <c r="E15" s="18">
        <f>C15+D15</f>
        <v>335.981</v>
      </c>
      <c r="F15" s="18">
        <f>C15+F14</f>
        <v>901.881</v>
      </c>
      <c r="G15" s="18">
        <f>D15+G14</f>
        <v>160.1</v>
      </c>
      <c r="H15" s="18">
        <f>E15+H14</f>
        <v>887.981</v>
      </c>
      <c r="I15" s="18">
        <f>AVERAGE(E4:E15)</f>
        <v>73.9984166666667</v>
      </c>
      <c r="J15" s="18">
        <f>AVERAGE(E11:E15)</f>
        <v>92.1962</v>
      </c>
      <c r="K15" s="22">
        <f>SUM('Cashflow'!I29:J32)</f>
        <v>-828.958</v>
      </c>
    </row>
    <row r="16" ht="20.05" customHeight="1">
      <c r="B16" s="31">
        <f>1+$B15</f>
        <v>2022</v>
      </c>
      <c r="C16" s="17">
        <f>'Cashflow'!I32</f>
        <v>437.625</v>
      </c>
      <c r="D16" s="18">
        <f>'Cashflow'!J32</f>
        <v>0.002</v>
      </c>
      <c r="E16" s="18">
        <f>C16+D16</f>
        <v>437.627</v>
      </c>
      <c r="F16" s="18">
        <f>C16+F15</f>
        <v>1339.506</v>
      </c>
      <c r="G16" s="18">
        <f>D16+G15</f>
        <v>160.102</v>
      </c>
      <c r="H16" s="18">
        <f>E16+H15</f>
        <v>1325.608</v>
      </c>
      <c r="I16" s="23"/>
      <c r="J16" s="23"/>
      <c r="K16" s="2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