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 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<sst xmlns="http://schemas.openxmlformats.org/spreadsheetml/2006/main" uniqueCount="63">
  <si>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</si>
  <si>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</si>
  <si>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</si>
  <si>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>Cash 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</si>
  <si>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</si>
  <si>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</si>
  <si>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</si>
  <si>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</si>
  <si>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</si>
  <si>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</si>
  <si>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</si>
  <si>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</si>
  <si>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</si>
  <si>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>Revolver</t>
  </si>
  <si>
    <t xml:space="preserve">Finance </t>
  </si>
  <si>
    <t>Beginning</t>
  </si>
  <si>
    <t xml:space="preserve">Change 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</si>
  <si>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</si>
  <si>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</si>
  <si>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</si>
  <si>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</si>
  <si>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</si>
  <si>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</si>
  <si>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</si>
  <si>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</si>
  <si>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Revolver </t>
  </si>
  <si>
    <t>Equity</t>
  </si>
  <si>
    <t>Check</t>
  </si>
  <si>
    <t xml:space="preserve">Net cash 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</si>
  <si>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</si>
  <si>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</si>
  <si>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</si>
  <si>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</si>
  <si>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</si>
  <si>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Cashflow </t>
  </si>
  <si>
    <t xml:space="preserve">Payback </t>
  </si>
  <si>
    <t xml:space="preserve">Forecast </t>
  </si>
  <si>
    <t>Value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</si>
  <si>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</si>
  <si>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</si>
  <si>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</si>
  <si>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</si>
  <si>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</si>
  <si>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</si>
  <si>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</t>
  </si>
  <si>
    <t xml:space="preserve">Sales growth </t>
  </si>
  <si>
    <t>Cashflow costs</t>
  </si>
  <si>
    <t>Cashflow</t>
  </si>
  <si>
    <t>Rp bn</t>
  </si>
  <si>
    <t xml:space="preserve">Receipts </t>
  </si>
  <si>
    <t>Interest</t>
  </si>
  <si>
    <t>Leases</t>
  </si>
  <si>
    <t>Liabilities</t>
  </si>
  <si>
    <t>Free cashflow</t>
  </si>
  <si>
    <t>Cash</t>
  </si>
  <si>
    <t>Assets</t>
  </si>
  <si>
    <t xml:space="preserve">Other assets </t>
  </si>
  <si>
    <t>Depreciation</t>
  </si>
  <si>
    <t>Net cash</t>
  </si>
  <si>
    <t>Share price</t>
  </si>
  <si>
    <t>EPMT</t>
  </si>
  <si>
    <t>Target</t>
  </si>
  <si>
    <t>Previous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</si>
</sst>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9177"/>
          <c:y val="0.12368"/>
          <c:w val="0.814513"/>
          <c:h val="0.810337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226516"/>
          <c:y val="0"/>
          <c:w val="0.934517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455457</xdr:colOff>
      <xdr:row>2</xdr:row>
      <xdr:rowOff>194213</xdr:rowOff>
    </xdr:from>
    <xdr:to>
      <xdr:col>13</xdr:col>
      <xdr:colOff>279267</xdr:colOff>
      <xdr:row>47</xdr:row>
      <xdr:rowOff>6821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46457" y="899698"/>
          <a:ext cx="8536011" cy="112762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19</xdr:col>
      <xdr:colOff>1203695</xdr:colOff>
      <xdr:row>20</xdr:row>
      <xdr:rowOff>165307</xdr:rowOff>
    </xdr:from>
    <xdr:to>
      <xdr:col>22</xdr:col>
      <xdr:colOff>71003</xdr:colOff>
      <xdr:row>35</xdr:row>
      <xdr:rowOff>163402</xdr:rowOff>
    </xdr:to>
    <xdr:graphicFrame>
      <xdr:nvGraphicFramePr>
        <xdr:cNvPr id="4" name="2D Line Chart"/>
        <xdr:cNvGraphicFramePr/>
      </xdr:nvGraphicFramePr>
      <xdr:xfrm>
        <a:off x="19250395" y="5512007"/>
        <a:ext cx="2601109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3906" style="1" customWidth="1"/>
    <col min="2" max="2" width="14.7656" style="1" customWidth="1"/>
    <col min="3" max="6" width="9.23438" style="1" customWidth="1"/>
    <col min="7" max="16384" width="16.3516" style="1" customWidth="1"/>
  </cols>
  <sheetData>
    <row r="1" ht="27.9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 '!G28:G31)</f>
        <v>0.0491393496101845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-0.02</v>
      </c>
      <c r="D5" s="12">
        <v>0.04</v>
      </c>
      <c r="E5" s="12">
        <v>0.03</v>
      </c>
      <c r="F5" s="12">
        <v>0.03</v>
      </c>
    </row>
    <row r="6" ht="20.05" customHeight="1">
      <c r="B6" t="s" s="10">
        <v>5</v>
      </c>
      <c r="C6" s="13">
        <f>'Sales '!C31*(1+C5)</f>
        <v>6719.958</v>
      </c>
      <c r="D6" s="14">
        <f>C6*(1+D5)</f>
        <v>6988.75632</v>
      </c>
      <c r="E6" s="14">
        <f>D6*(1+E5)</f>
        <v>7198.4190096</v>
      </c>
      <c r="F6" s="14">
        <f>E6*(1+F5)</f>
        <v>7414.371579888</v>
      </c>
    </row>
    <row r="7" ht="20.05" customHeight="1">
      <c r="B7" t="s" s="10">
        <v>6</v>
      </c>
      <c r="C7" s="15">
        <f>AVERAGE('Sales '!I31)</f>
        <v>-0.960862341725609</v>
      </c>
      <c r="D7" s="16">
        <f>C7</f>
        <v>-0.960862341725609</v>
      </c>
      <c r="E7" s="16">
        <f>D7</f>
        <v>-0.960862341725609</v>
      </c>
      <c r="F7" s="16">
        <f>E7</f>
        <v>-0.960862341725609</v>
      </c>
    </row>
    <row r="8" ht="20.05" customHeight="1">
      <c r="B8" t="s" s="10">
        <v>7</v>
      </c>
      <c r="C8" s="17">
        <f>C6*C7</f>
        <v>-6456.954580177740</v>
      </c>
      <c r="D8" s="18">
        <f>D6*D7</f>
        <v>-6715.232763384850</v>
      </c>
      <c r="E8" s="18">
        <f>E6*E7</f>
        <v>-6916.6897462864</v>
      </c>
      <c r="F8" s="18">
        <f>F6*F7</f>
        <v>-7124.190438674990</v>
      </c>
    </row>
    <row r="9" ht="20.05" customHeight="1">
      <c r="B9" t="s" s="10">
        <v>8</v>
      </c>
      <c r="C9" s="17">
        <f>C6+C8</f>
        <v>263.003419822260</v>
      </c>
      <c r="D9" s="18">
        <f>D6+D8</f>
        <v>273.523556615150</v>
      </c>
      <c r="E9" s="18">
        <f>E6+E8</f>
        <v>281.7292633136</v>
      </c>
      <c r="F9" s="18">
        <f>F6+F8</f>
        <v>290.181141213010</v>
      </c>
    </row>
    <row r="10" ht="20.05" customHeight="1">
      <c r="B10" t="s" s="10">
        <v>9</v>
      </c>
      <c r="C10" s="17">
        <f>AVERAGE('Cashflow '!E28:E31)</f>
        <v>-33.45</v>
      </c>
      <c r="D10" s="18">
        <f>C10</f>
        <v>-33.45</v>
      </c>
      <c r="E10" s="18">
        <f>D10</f>
        <v>-33.45</v>
      </c>
      <c r="F10" s="18">
        <f>E10</f>
        <v>-33.45</v>
      </c>
    </row>
    <row r="11" ht="20.05" customHeight="1">
      <c r="B11" t="s" s="10">
        <v>10</v>
      </c>
      <c r="C11" s="17">
        <f>-('Balance sheet'!F30)/20</f>
        <v>-144.15</v>
      </c>
      <c r="D11" s="18">
        <f>-C26/20</f>
        <v>-136.9425</v>
      </c>
      <c r="E11" s="18">
        <f>-D26/20</f>
        <v>-130.095375</v>
      </c>
      <c r="F11" s="18">
        <f>-E26/20</f>
        <v>-123.59060625</v>
      </c>
    </row>
    <row r="12" ht="20.05" customHeight="1">
      <c r="B12" t="s" s="10">
        <v>11</v>
      </c>
      <c r="C12" s="17">
        <f>IF(C21&gt;0,-C21*0.5,0)</f>
        <v>-111.941709911130</v>
      </c>
      <c r="D12" s="18">
        <f>IF(D21&gt;0,-D21*0.5,0)</f>
        <v>-117.201778307575</v>
      </c>
      <c r="E12" s="18">
        <f>IF(E21&gt;0,-E21*0.5,0)</f>
        <v>-121.3046316568</v>
      </c>
      <c r="F12" s="18">
        <f>IF(F21&gt;0,-F21*0.5,0)</f>
        <v>-125.530570606505</v>
      </c>
    </row>
    <row r="13" ht="20.05" customHeight="1">
      <c r="B13" t="s" s="10">
        <v>12</v>
      </c>
      <c r="C13" s="17">
        <f>C9+C10+C11+C12</f>
        <v>-26.538290088870</v>
      </c>
      <c r="D13" s="18">
        <f>D9+D10+D11+D12</f>
        <v>-14.070721692425</v>
      </c>
      <c r="E13" s="18">
        <f>E9+E10+E11+E12</f>
        <v>-3.1207433432</v>
      </c>
      <c r="F13" s="18">
        <f>F9+F10+F11+F12</f>
        <v>7.609964356505</v>
      </c>
    </row>
    <row r="14" ht="20.05" customHeight="1">
      <c r="B14" t="s" s="10">
        <v>13</v>
      </c>
      <c r="C14" s="17">
        <f>-MIN(0,C13)</f>
        <v>26.538290088870</v>
      </c>
      <c r="D14" s="18">
        <f>-MIN(C27,D13)</f>
        <v>14.070721692425</v>
      </c>
      <c r="E14" s="18">
        <f>-MIN(D27,E13)</f>
        <v>3.1207433432</v>
      </c>
      <c r="F14" s="18">
        <f>-MIN(E27,F13)</f>
        <v>-7.609964356505</v>
      </c>
    </row>
    <row r="15" ht="20.05" customHeight="1">
      <c r="B15" t="s" s="10">
        <v>14</v>
      </c>
      <c r="C15" s="17">
        <f>C11+C12+C14</f>
        <v>-229.553419822260</v>
      </c>
      <c r="D15" s="18">
        <f>D11+D12+D14</f>
        <v>-240.073556615150</v>
      </c>
      <c r="E15" s="18">
        <f>E11+E12+E14</f>
        <v>-248.2792633136</v>
      </c>
      <c r="F15" s="18">
        <f>F11+F12+F14</f>
        <v>-256.731141213010</v>
      </c>
    </row>
    <row r="16" ht="20.05" customHeight="1">
      <c r="B16" t="s" s="10">
        <v>15</v>
      </c>
      <c r="C16" s="17">
        <f>'Balance sheet'!B30</f>
        <v>1325</v>
      </c>
      <c r="D16" s="18">
        <f>C18</f>
        <v>1325</v>
      </c>
      <c r="E16" s="18">
        <f>D18</f>
        <v>1325</v>
      </c>
      <c r="F16" s="18">
        <f>E18</f>
        <v>1325</v>
      </c>
    </row>
    <row r="17" ht="20.05" customHeight="1">
      <c r="B17" t="s" s="10">
        <v>16</v>
      </c>
      <c r="C17" s="17">
        <f>C9+C10+C15</f>
        <v>0</v>
      </c>
      <c r="D17" s="18">
        <f>D9+D10+D15</f>
        <v>0</v>
      </c>
      <c r="E17" s="18">
        <f>E9+E10+E15</f>
        <v>0</v>
      </c>
      <c r="F17" s="18">
        <f>F9+F10+F15</f>
        <v>0</v>
      </c>
    </row>
    <row r="18" ht="20.05" customHeight="1">
      <c r="B18" t="s" s="10">
        <v>17</v>
      </c>
      <c r="C18" s="17">
        <f>C16+C17</f>
        <v>1325</v>
      </c>
      <c r="D18" s="18">
        <f>D16+D17</f>
        <v>1325</v>
      </c>
      <c r="E18" s="18">
        <f>E16+E17</f>
        <v>1325</v>
      </c>
      <c r="F18" s="18">
        <f>F16+F17</f>
        <v>1325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 '!E31)</f>
        <v>-39.12</v>
      </c>
      <c r="D20" s="18">
        <f>C20</f>
        <v>-39.12</v>
      </c>
      <c r="E20" s="18">
        <f>D20</f>
        <v>-39.12</v>
      </c>
      <c r="F20" s="18">
        <f>E20</f>
        <v>-39.12</v>
      </c>
    </row>
    <row r="21" ht="20.05" customHeight="1">
      <c r="B21" t="s" s="10">
        <v>20</v>
      </c>
      <c r="C21" s="17">
        <f>C6+C8+C20</f>
        <v>223.883419822260</v>
      </c>
      <c r="D21" s="18">
        <f>D6+D8+D20</f>
        <v>234.403556615150</v>
      </c>
      <c r="E21" s="18">
        <f>E6+E8+E20</f>
        <v>242.6092633136</v>
      </c>
      <c r="F21" s="18">
        <f>F6+F8+F20</f>
        <v>251.061141213010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10">
        <v>22</v>
      </c>
      <c r="C23" s="17">
        <f>'Balance sheet'!D30+'Balance sheet'!E30-C10</f>
        <v>9702.57</v>
      </c>
      <c r="D23" s="18">
        <f>C23-D10</f>
        <v>9736.02</v>
      </c>
      <c r="E23" s="18">
        <f>D23-E10</f>
        <v>9769.469999999999</v>
      </c>
      <c r="F23" s="18">
        <f>E23-F10</f>
        <v>9802.92</v>
      </c>
    </row>
    <row r="24" ht="20.05" customHeight="1">
      <c r="B24" t="s" s="10">
        <v>23</v>
      </c>
      <c r="C24" s="17">
        <f>'Balance sheet'!E30-C20</f>
        <v>1303.24</v>
      </c>
      <c r="D24" s="18">
        <f>C24-D20</f>
        <v>1342.36</v>
      </c>
      <c r="E24" s="18">
        <f>D24-E20</f>
        <v>1381.48</v>
      </c>
      <c r="F24" s="18">
        <f>E24-F20</f>
        <v>1420.6</v>
      </c>
    </row>
    <row r="25" ht="20.05" customHeight="1">
      <c r="B25" t="s" s="10">
        <v>24</v>
      </c>
      <c r="C25" s="17">
        <f>C23-C24</f>
        <v>8399.33</v>
      </c>
      <c r="D25" s="18">
        <f>D23-D24</f>
        <v>8393.66</v>
      </c>
      <c r="E25" s="18">
        <f>E23-E24</f>
        <v>8387.99</v>
      </c>
      <c r="F25" s="18">
        <f>F23-F24</f>
        <v>8382.32</v>
      </c>
    </row>
    <row r="26" ht="20.05" customHeight="1">
      <c r="B26" t="s" s="10">
        <v>10</v>
      </c>
      <c r="C26" s="17">
        <f>'Balance sheet'!F30+C11</f>
        <v>2738.85</v>
      </c>
      <c r="D26" s="18">
        <f>C26+D11</f>
        <v>2601.9075</v>
      </c>
      <c r="E26" s="18">
        <f>D26+E11</f>
        <v>2471.812125</v>
      </c>
      <c r="F26" s="18">
        <f>E26+F11</f>
        <v>2348.22151875</v>
      </c>
    </row>
    <row r="27" ht="20.05" customHeight="1">
      <c r="B27" t="s" s="10">
        <v>25</v>
      </c>
      <c r="C27" s="17">
        <f>C14</f>
        <v>26.538290088870</v>
      </c>
      <c r="D27" s="18">
        <f>C27+D14</f>
        <v>40.609011781295</v>
      </c>
      <c r="E27" s="18">
        <f>D27+E14</f>
        <v>43.729755124495</v>
      </c>
      <c r="F27" s="18">
        <f>E27+F14</f>
        <v>36.119790767990</v>
      </c>
    </row>
    <row r="28" ht="20.05" customHeight="1">
      <c r="B28" t="s" s="10">
        <v>26</v>
      </c>
      <c r="C28" s="17">
        <f>'Balance sheet'!G30+C21+C12</f>
        <v>6958.941709911130</v>
      </c>
      <c r="D28" s="18">
        <f>C28+D21+D12</f>
        <v>7076.143488218710</v>
      </c>
      <c r="E28" s="18">
        <f>D28+E21+E12</f>
        <v>7197.448119875510</v>
      </c>
      <c r="F28" s="18">
        <f>E28+F21+F12</f>
        <v>7322.978690482020</v>
      </c>
    </row>
    <row r="29" ht="20.05" customHeight="1">
      <c r="B29" t="s" s="10">
        <v>27</v>
      </c>
      <c r="C29" s="17">
        <f>C26+C27+C28-C18-C25</f>
        <v>0</v>
      </c>
      <c r="D29" s="18">
        <f>D26+D27+D28-D18-D25</f>
        <v>5e-12</v>
      </c>
      <c r="E29" s="18">
        <f>E26+E27+E28-E18-E25</f>
        <v>5e-12</v>
      </c>
      <c r="F29" s="18">
        <f>F26+F27+F28-F18-F25</f>
        <v>9.999999999999999e-12</v>
      </c>
    </row>
    <row r="30" ht="20.05" customHeight="1">
      <c r="B30" t="s" s="10">
        <v>28</v>
      </c>
      <c r="C30" s="17">
        <f>C18-C26-C27</f>
        <v>-1440.388290088870</v>
      </c>
      <c r="D30" s="18">
        <f>D18-D26-D27</f>
        <v>-1317.5165117813</v>
      </c>
      <c r="E30" s="18">
        <f>E18-E26-E27</f>
        <v>-1190.5418801245</v>
      </c>
      <c r="F30" s="18">
        <f>F18-F26-F27</f>
        <v>-1059.341309517990</v>
      </c>
    </row>
    <row r="31" ht="20.05" customHeight="1">
      <c r="B31" t="s" s="19">
        <v>29</v>
      </c>
      <c r="C31" s="17"/>
      <c r="D31" s="18"/>
      <c r="E31" s="18"/>
      <c r="F31" s="18"/>
    </row>
    <row r="32" ht="20.05" customHeight="1">
      <c r="B32" t="s" s="10">
        <v>30</v>
      </c>
      <c r="C32" s="17">
        <f>'Cashflow '!N31-C15</f>
        <v>1390.313419822260</v>
      </c>
      <c r="D32" s="18">
        <f>C32-D15</f>
        <v>1630.386976437410</v>
      </c>
      <c r="E32" s="18">
        <f>D32-E15</f>
        <v>1878.666239751010</v>
      </c>
      <c r="F32" s="18">
        <f>E32-F15</f>
        <v>2135.397380964020</v>
      </c>
    </row>
    <row r="33" ht="20.05" customHeight="1">
      <c r="B33" t="s" s="10">
        <v>31</v>
      </c>
      <c r="C33" s="17"/>
      <c r="D33" s="18"/>
      <c r="E33" s="18"/>
      <c r="F33" s="18">
        <v>7448759894016</v>
      </c>
    </row>
    <row r="34" ht="20.05" customHeight="1">
      <c r="B34" t="s" s="10">
        <v>31</v>
      </c>
      <c r="C34" s="17"/>
      <c r="D34" s="18"/>
      <c r="E34" s="18"/>
      <c r="F34" s="18">
        <f>F33/1000000000</f>
        <v>7448.759894016</v>
      </c>
    </row>
    <row r="35" ht="20.05" customHeight="1">
      <c r="B35" t="s" s="10">
        <v>32</v>
      </c>
      <c r="C35" s="17"/>
      <c r="D35" s="18"/>
      <c r="E35" s="18"/>
      <c r="F35" s="23">
        <f>F34/(F18+F25)</f>
        <v>0.767334330589287</v>
      </c>
    </row>
    <row r="36" ht="20.05" customHeight="1">
      <c r="B36" t="s" s="10">
        <v>33</v>
      </c>
      <c r="C36" s="17"/>
      <c r="D36" s="18"/>
      <c r="E36" s="18"/>
      <c r="F36" s="16">
        <f>-(C12+D12+E12+F12)/F34</f>
        <v>0.0639003937909705</v>
      </c>
    </row>
    <row r="37" ht="20.05" customHeight="1">
      <c r="B37" t="s" s="10">
        <v>34</v>
      </c>
      <c r="C37" s="17"/>
      <c r="D37" s="18"/>
      <c r="E37" s="18"/>
      <c r="F37" s="18">
        <f>SUM(C9:F10)</f>
        <v>974.6373809640201</v>
      </c>
    </row>
    <row r="38" ht="20.05" customHeight="1">
      <c r="B38" t="s" s="10">
        <v>35</v>
      </c>
      <c r="C38" s="17"/>
      <c r="D38" s="18"/>
      <c r="E38" s="18"/>
      <c r="F38" s="18">
        <f>'Balance sheet'!D30/F37</f>
        <v>8.623720128286649</v>
      </c>
    </row>
    <row r="39" ht="20.05" customHeight="1">
      <c r="B39" t="s" s="10">
        <v>29</v>
      </c>
      <c r="C39" s="17"/>
      <c r="D39" s="18"/>
      <c r="E39" s="18"/>
      <c r="F39" s="18">
        <f>F34/F37</f>
        <v>7.64259614857824</v>
      </c>
    </row>
    <row r="40" ht="20.05" customHeight="1">
      <c r="B40" t="s" s="10">
        <v>36</v>
      </c>
      <c r="C40" s="17"/>
      <c r="D40" s="18"/>
      <c r="E40" s="18"/>
      <c r="F40" s="18">
        <v>12</v>
      </c>
    </row>
    <row r="41" ht="20.05" customHeight="1">
      <c r="B41" t="s" s="10">
        <v>37</v>
      </c>
      <c r="C41" s="17"/>
      <c r="D41" s="18"/>
      <c r="E41" s="18"/>
      <c r="F41" s="18">
        <f>F37*F40</f>
        <v>11695.6485715682</v>
      </c>
    </row>
    <row r="42" ht="20.05" customHeight="1">
      <c r="B42" t="s" s="10">
        <v>38</v>
      </c>
      <c r="C42" s="17"/>
      <c r="D42" s="18"/>
      <c r="E42" s="18"/>
      <c r="F42" s="18">
        <f>F34/F44</f>
        <v>2.70863996146036</v>
      </c>
    </row>
    <row r="43" ht="20.05" customHeight="1">
      <c r="B43" t="s" s="10">
        <v>39</v>
      </c>
      <c r="C43" s="17"/>
      <c r="D43" s="18"/>
      <c r="E43" s="18"/>
      <c r="F43" s="18">
        <f>F41/F42</f>
        <v>4317.904460533210</v>
      </c>
    </row>
    <row r="44" ht="20.05" customHeight="1">
      <c r="B44" t="s" s="10">
        <v>40</v>
      </c>
      <c r="C44" s="17"/>
      <c r="D44" s="18"/>
      <c r="E44" s="18"/>
      <c r="F44" s="18">
        <v>2750</v>
      </c>
    </row>
    <row r="45" ht="20.05" customHeight="1">
      <c r="B45" t="s" s="10">
        <v>41</v>
      </c>
      <c r="C45" s="17"/>
      <c r="D45" s="18"/>
      <c r="E45" s="18"/>
      <c r="F45" s="16">
        <f>F43/F44-1</f>
        <v>0.5701470765575311</v>
      </c>
    </row>
    <row r="46" ht="20.05" customHeight="1">
      <c r="B46" t="s" s="10">
        <v>42</v>
      </c>
      <c r="C46" s="17"/>
      <c r="D46" s="18"/>
      <c r="E46" s="18"/>
      <c r="F46" s="16">
        <f>'Sales '!C31/'Sales '!C27-1</f>
        <v>0.207980269532282</v>
      </c>
    </row>
    <row r="47" ht="20.05" customHeight="1">
      <c r="B47" t="s" s="10">
        <v>43</v>
      </c>
      <c r="C47" s="17"/>
      <c r="D47" s="18"/>
      <c r="E47" s="18"/>
      <c r="F47" s="16">
        <f>('Sales '!D29+'Sales '!D31+'Sales '!D30)/('Sales '!C29+'Sales '!C31+'Sales '!C30)-1</f>
        <v>-0.0485571486724863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0938" style="24" customWidth="1"/>
    <col min="2" max="2" width="10.0312" style="24" customWidth="1"/>
    <col min="3" max="11" width="10.6328" style="24" customWidth="1"/>
    <col min="12" max="16384" width="16.3516" style="24" customWidth="1"/>
  </cols>
  <sheetData>
    <row r="1" ht="26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44</v>
      </c>
      <c r="D3" t="s" s="5">
        <v>36</v>
      </c>
      <c r="E3" t="s" s="5">
        <v>23</v>
      </c>
      <c r="F3" t="s" s="5">
        <v>20</v>
      </c>
      <c r="G3" t="s" s="5">
        <v>45</v>
      </c>
      <c r="H3" t="s" s="5">
        <v>6</v>
      </c>
      <c r="I3" t="s" s="5">
        <v>6</v>
      </c>
      <c r="J3" t="s" s="5">
        <v>36</v>
      </c>
      <c r="K3" t="s" s="5">
        <v>46</v>
      </c>
    </row>
    <row r="4" ht="20.25" customHeight="1">
      <c r="B4" s="25">
        <v>2015</v>
      </c>
      <c r="C4" s="26">
        <v>4075.12</v>
      </c>
      <c r="D4" s="8"/>
      <c r="E4" s="27">
        <v>31.3</v>
      </c>
      <c r="F4" s="27">
        <v>95.45</v>
      </c>
      <c r="G4" s="9"/>
      <c r="H4" s="28">
        <f>(E4+F4-C4)/C4</f>
        <v>-0.968896621449184</v>
      </c>
      <c r="I4" s="28"/>
      <c r="J4" s="28"/>
      <c r="K4" s="28"/>
    </row>
    <row r="5" ht="20.05" customHeight="1">
      <c r="B5" s="29"/>
      <c r="C5" s="13">
        <v>4339.58</v>
      </c>
      <c r="D5" s="22"/>
      <c r="E5" s="14">
        <v>32.2</v>
      </c>
      <c r="F5" s="14">
        <v>130.55</v>
      </c>
      <c r="G5" s="16">
        <f>C5/C4-1</f>
        <v>0.0648962484540333</v>
      </c>
      <c r="H5" s="16">
        <f>(E5+F5-C5)/C5</f>
        <v>-0.9624963706165111</v>
      </c>
      <c r="I5" s="16"/>
      <c r="J5" s="16"/>
      <c r="K5" s="16"/>
    </row>
    <row r="6" ht="20.05" customHeight="1">
      <c r="B6" s="29"/>
      <c r="C6" s="13">
        <v>4255.6</v>
      </c>
      <c r="D6" s="22"/>
      <c r="E6" s="14">
        <v>32.5</v>
      </c>
      <c r="F6" s="14">
        <v>162.3</v>
      </c>
      <c r="G6" s="16">
        <f>C6/C5-1</f>
        <v>-0.0193521031989271</v>
      </c>
      <c r="H6" s="16">
        <f>(E6+F6-C6)/C6</f>
        <v>-0.954225021148604</v>
      </c>
      <c r="I6" s="16"/>
      <c r="J6" s="16"/>
      <c r="K6" s="16"/>
    </row>
    <row r="7" ht="20.05" customHeight="1">
      <c r="B7" s="29"/>
      <c r="C7" s="13">
        <v>4805.8</v>
      </c>
      <c r="D7" s="22"/>
      <c r="E7" s="14">
        <v>33.1</v>
      </c>
      <c r="F7" s="14">
        <v>158.9</v>
      </c>
      <c r="G7" s="16">
        <f>C7/C6-1</f>
        <v>0.129288466961181</v>
      </c>
      <c r="H7" s="16">
        <f>(E7+F7-C7)/C7</f>
        <v>-0.96004827500104</v>
      </c>
      <c r="I7" s="16"/>
      <c r="J7" s="16"/>
      <c r="K7" s="16"/>
    </row>
    <row r="8" ht="20.05" customHeight="1">
      <c r="B8" s="30">
        <v>2016</v>
      </c>
      <c r="C8" s="13">
        <v>4409.6</v>
      </c>
      <c r="D8" s="22"/>
      <c r="E8" s="14">
        <v>32.5</v>
      </c>
      <c r="F8" s="14">
        <v>123.2</v>
      </c>
      <c r="G8" s="16">
        <f>C8/C7-1</f>
        <v>-0.0824420491905614</v>
      </c>
      <c r="H8" s="16">
        <f>(E8+F8-C8)/C8</f>
        <v>-0.964690674891147</v>
      </c>
      <c r="I8" s="16">
        <f>AVERAGE(H5:H8)</f>
        <v>-0.960365085414326</v>
      </c>
      <c r="J8" s="16"/>
      <c r="K8" s="16">
        <f>('Cashflow '!D7+'Cashflow '!F7-'Cashflow '!C7)/'Cashflow '!C7</f>
        <v>-0.896909582570616</v>
      </c>
    </row>
    <row r="9" ht="20.05" customHeight="1">
      <c r="B9" s="29"/>
      <c r="C9" s="13">
        <v>4989.1</v>
      </c>
      <c r="D9" s="22"/>
      <c r="E9" s="14">
        <v>31.9</v>
      </c>
      <c r="F9" s="14">
        <v>139.6</v>
      </c>
      <c r="G9" s="16">
        <f>C9/C8-1</f>
        <v>0.131417815674891</v>
      </c>
      <c r="H9" s="16">
        <f>(E9+F9-C9)/C9</f>
        <v>-0.965625062636548</v>
      </c>
      <c r="I9" s="16">
        <f>AVERAGE(H6:H9)</f>
        <v>-0.961147258419335</v>
      </c>
      <c r="J9" s="16"/>
      <c r="K9" s="16">
        <f>('Cashflow '!D8+'Cashflow '!F8-'Cashflow '!C8)/'Cashflow '!C8</f>
        <v>-1.025480889333</v>
      </c>
    </row>
    <row r="10" ht="20.05" customHeight="1">
      <c r="B10" s="29"/>
      <c r="C10" s="13">
        <v>4541.5</v>
      </c>
      <c r="D10" s="22"/>
      <c r="E10" s="14">
        <v>31.4</v>
      </c>
      <c r="F10" s="14">
        <v>114.3</v>
      </c>
      <c r="G10" s="16">
        <f>C10/C9-1</f>
        <v>-0.0897155799643222</v>
      </c>
      <c r="H10" s="16">
        <f>(E10+F10-C10)/C10</f>
        <v>-0.967918088737201</v>
      </c>
      <c r="I10" s="16">
        <f>AVERAGE(H7:H10)</f>
        <v>-0.964570525316484</v>
      </c>
      <c r="J10" s="16"/>
      <c r="K10" s="16">
        <f>('Cashflow '!D9+'Cashflow '!F9-'Cashflow '!C9)/'Cashflow '!C9</f>
        <v>-1.03158347998652</v>
      </c>
    </row>
    <row r="11" ht="20.05" customHeight="1">
      <c r="B11" s="29"/>
      <c r="C11" s="13">
        <v>4996</v>
      </c>
      <c r="D11" s="22"/>
      <c r="E11" s="14">
        <v>31.1</v>
      </c>
      <c r="F11" s="14">
        <v>179</v>
      </c>
      <c r="G11" s="16">
        <f>C11/C10-1</f>
        <v>0.100077067048332</v>
      </c>
      <c r="H11" s="16">
        <f>(E11+F11-C11)/C11</f>
        <v>-0.957946357085669</v>
      </c>
      <c r="I11" s="16">
        <f>AVERAGE(H8:H11)</f>
        <v>-0.9640450458376409</v>
      </c>
      <c r="J11" s="16"/>
      <c r="K11" s="16">
        <f>('Cashflow '!D10+'Cashflow '!F10-'Cashflow '!C10)/'Cashflow '!C10</f>
        <v>-0.922158267747367</v>
      </c>
    </row>
    <row r="12" ht="20.05" customHeight="1">
      <c r="B12" s="30">
        <v>2017</v>
      </c>
      <c r="C12" s="13">
        <v>4632.4</v>
      </c>
      <c r="D12" s="22"/>
      <c r="E12" s="14">
        <v>30</v>
      </c>
      <c r="F12" s="14">
        <v>90.09999999999999</v>
      </c>
      <c r="G12" s="16">
        <f>C12/C11-1</f>
        <v>-0.07277822257806239</v>
      </c>
      <c r="H12" s="16">
        <f>(E12+F12-C12)/C12</f>
        <v>-0.974073914169761</v>
      </c>
      <c r="I12" s="16">
        <f>AVERAGE(H9:H12)</f>
        <v>-0.966390855657295</v>
      </c>
      <c r="J12" s="16"/>
      <c r="K12" s="16">
        <f>('Cashflow '!D11+'Cashflow '!F11-'Cashflow '!C11)/'Cashflow '!C11</f>
        <v>-0.976616231086657</v>
      </c>
    </row>
    <row r="13" ht="20.05" customHeight="1">
      <c r="B13" s="29"/>
      <c r="C13" s="13">
        <v>5172</v>
      </c>
      <c r="D13" s="22"/>
      <c r="E13" s="14">
        <v>29.5</v>
      </c>
      <c r="F13" s="14">
        <v>154</v>
      </c>
      <c r="G13" s="16">
        <f>C13/C12-1</f>
        <v>0.116483896036612</v>
      </c>
      <c r="H13" s="16">
        <f>(E13+F13-C13)/C13</f>
        <v>-0.964520494972931</v>
      </c>
      <c r="I13" s="16">
        <f>AVERAGE(H10:H13)</f>
        <v>-0.966114713741391</v>
      </c>
      <c r="J13" s="16"/>
      <c r="K13" s="16">
        <f>('Cashflow '!D12+'Cashflow '!F12-'Cashflow '!C12)/'Cashflow '!C12</f>
        <v>-1.08037614251262</v>
      </c>
    </row>
    <row r="14" ht="20.05" customHeight="1">
      <c r="B14" s="29"/>
      <c r="C14" s="13">
        <v>4760.2</v>
      </c>
      <c r="D14" s="22"/>
      <c r="E14" s="14">
        <v>29.8</v>
      </c>
      <c r="F14" s="14">
        <v>93.7</v>
      </c>
      <c r="G14" s="16">
        <f>C14/C13-1</f>
        <v>-0.0796210363495746</v>
      </c>
      <c r="H14" s="16">
        <f>(E14+F14-C14)/C14</f>
        <v>-0.9740557119448759</v>
      </c>
      <c r="I14" s="16">
        <f>AVERAGE(H11:H14)</f>
        <v>-0.967649119543309</v>
      </c>
      <c r="J14" s="16"/>
      <c r="K14" s="16">
        <f>('Cashflow '!D13+'Cashflow '!F13-'Cashflow '!C13)/'Cashflow '!C13</f>
        <v>-1.02155750197396</v>
      </c>
    </row>
    <row r="15" ht="20.05" customHeight="1">
      <c r="B15" s="29"/>
      <c r="C15" s="13">
        <v>5104.5</v>
      </c>
      <c r="D15" s="22"/>
      <c r="E15" s="14">
        <v>31.5</v>
      </c>
      <c r="F15" s="14">
        <v>180</v>
      </c>
      <c r="G15" s="16">
        <f>C15/C14-1</f>
        <v>0.0723288937439603</v>
      </c>
      <c r="H15" s="16">
        <f>(E15+F15-C15)/C15</f>
        <v>-0.958565971201881</v>
      </c>
      <c r="I15" s="16">
        <f>AVERAGE(H12:H15)</f>
        <v>-0.967804023072362</v>
      </c>
      <c r="J15" s="16"/>
      <c r="K15" s="16">
        <f>('Cashflow '!D14+'Cashflow '!F14-'Cashflow '!C14)/'Cashflow '!C14</f>
        <v>-0.985134780489634</v>
      </c>
    </row>
    <row r="16" ht="20.05" customHeight="1">
      <c r="B16" s="30">
        <v>2018</v>
      </c>
      <c r="C16" s="13">
        <v>4734.4</v>
      </c>
      <c r="D16" s="22"/>
      <c r="E16" s="14">
        <v>32.2</v>
      </c>
      <c r="F16" s="14">
        <v>114.9</v>
      </c>
      <c r="G16" s="16">
        <f>C16/C15-1</f>
        <v>-0.0725046527573709</v>
      </c>
      <c r="H16" s="16">
        <f>(E16+F16-C16)/C16</f>
        <v>-0.968929537005745</v>
      </c>
      <c r="I16" s="16">
        <f>AVERAGE(H13:H16)</f>
        <v>-0.966517928781358</v>
      </c>
      <c r="J16" s="16"/>
      <c r="K16" s="16">
        <f>('Cashflow '!D15+'Cashflow '!F15-'Cashflow '!C15)/'Cashflow '!C15</f>
        <v>-0.960186981831011</v>
      </c>
    </row>
    <row r="17" ht="20.05" customHeight="1">
      <c r="B17" s="29"/>
      <c r="C17" s="13">
        <v>5358.1</v>
      </c>
      <c r="D17" s="22"/>
      <c r="E17" s="14">
        <v>31.6</v>
      </c>
      <c r="F17" s="14">
        <v>169.5</v>
      </c>
      <c r="G17" s="16">
        <f>C17/C16-1</f>
        <v>0.131737918215613</v>
      </c>
      <c r="H17" s="16">
        <f>(E17+F17-C17)/C17</f>
        <v>-0.962468039043691</v>
      </c>
      <c r="I17" s="16">
        <f>AVERAGE(H14:H17)</f>
        <v>-0.966004814799048</v>
      </c>
      <c r="J17" s="16"/>
      <c r="K17" s="16">
        <f>('Cashflow '!D16+'Cashflow '!F16-'Cashflow '!C16)/'Cashflow '!C16</f>
        <v>-0.984436476402752</v>
      </c>
    </row>
    <row r="18" ht="20.05" customHeight="1">
      <c r="B18" s="29"/>
      <c r="C18" s="13">
        <v>5035.6</v>
      </c>
      <c r="D18" s="22"/>
      <c r="E18" s="14">
        <v>31.7</v>
      </c>
      <c r="F18" s="14">
        <v>185.2</v>
      </c>
      <c r="G18" s="16">
        <f>C18/C17-1</f>
        <v>-0.0601892461880144</v>
      </c>
      <c r="H18" s="16">
        <f>(E18+F18-C18)/C18</f>
        <v>-0.956926682023989</v>
      </c>
      <c r="I18" s="16">
        <f>AVERAGE(H15:H18)</f>
        <v>-0.9617225573188271</v>
      </c>
      <c r="J18" s="16"/>
      <c r="K18" s="16">
        <f>('Cashflow '!D17+'Cashflow '!F17-'Cashflow '!C17)/'Cashflow '!C17</f>
        <v>-1.05309500282326</v>
      </c>
    </row>
    <row r="19" ht="20.05" customHeight="1">
      <c r="B19" s="29"/>
      <c r="C19" s="13">
        <v>5476.4</v>
      </c>
      <c r="D19" s="22"/>
      <c r="E19" s="14">
        <v>31.8</v>
      </c>
      <c r="F19" s="14">
        <v>183.6</v>
      </c>
      <c r="G19" s="16">
        <f>C19/C18-1</f>
        <v>0.0875367384224323</v>
      </c>
      <c r="H19" s="16">
        <f>(E19+F19-C19)/C19</f>
        <v>-0.96066759184866</v>
      </c>
      <c r="I19" s="16">
        <f>AVERAGE(H16:H19)</f>
        <v>-0.962247962480521</v>
      </c>
      <c r="J19" s="16"/>
      <c r="K19" s="16">
        <f>('Cashflow '!D18+'Cashflow '!F18-'Cashflow '!C18)/'Cashflow '!C18</f>
        <v>-0.8975981671705699</v>
      </c>
    </row>
    <row r="20" ht="20.05" customHeight="1">
      <c r="B20" s="30">
        <v>2019</v>
      </c>
      <c r="C20" s="13">
        <v>5108.5</v>
      </c>
      <c r="D20" s="22"/>
      <c r="E20" s="14">
        <v>31.7</v>
      </c>
      <c r="F20" s="14">
        <v>132.1</v>
      </c>
      <c r="G20" s="16">
        <f>C20/C19-1</f>
        <v>-0.06717916879701991</v>
      </c>
      <c r="H20" s="16">
        <f>(E20+F20-C20)/C20</f>
        <v>-0.9679357932857</v>
      </c>
      <c r="I20" s="16">
        <f>AVERAGE(H17:H20)</f>
        <v>-0.96199952655051</v>
      </c>
      <c r="J20" s="16"/>
      <c r="K20" s="16">
        <f>('Cashflow '!D19+'Cashflow '!F19-'Cashflow '!C19)/'Cashflow '!C19</f>
        <v>-0.964997051693638</v>
      </c>
    </row>
    <row r="21" ht="20.05" customHeight="1">
      <c r="B21" s="29"/>
      <c r="C21" s="13">
        <v>5897</v>
      </c>
      <c r="D21" s="22"/>
      <c r="E21" s="14">
        <v>31.7</v>
      </c>
      <c r="F21" s="14">
        <v>182.2</v>
      </c>
      <c r="G21" s="16">
        <f>C21/C20-1</f>
        <v>0.154350592150338</v>
      </c>
      <c r="H21" s="16">
        <f>(E21+F21-C21)/C21</f>
        <v>-0.96372731897575</v>
      </c>
      <c r="I21" s="16">
        <f>AVERAGE(H18:H21)</f>
        <v>-0.962314346533525</v>
      </c>
      <c r="J21" s="16"/>
      <c r="K21" s="16">
        <f>('Cashflow '!D20+'Cashflow '!F20-'Cashflow '!C20)/'Cashflow '!C20</f>
        <v>-0.9840176715176721</v>
      </c>
    </row>
    <row r="22" ht="20.05" customHeight="1">
      <c r="B22" s="29"/>
      <c r="C22" s="13">
        <v>5475.3</v>
      </c>
      <c r="D22" s="22"/>
      <c r="E22" s="14">
        <v>31.5</v>
      </c>
      <c r="F22" s="14">
        <v>156.7</v>
      </c>
      <c r="G22" s="16">
        <f>C22/C21-1</f>
        <v>-0.0715109377649652</v>
      </c>
      <c r="H22" s="16">
        <f>(E22+F22-C22)/C22</f>
        <v>-0.965627454203423</v>
      </c>
      <c r="I22" s="16">
        <f>AVERAGE(H19:H22)</f>
        <v>-0.964489539578383</v>
      </c>
      <c r="J22" s="16"/>
      <c r="K22" s="16">
        <f>('Cashflow '!D21+'Cashflow '!F21-'Cashflow '!C21)/'Cashflow '!C21</f>
        <v>-1.10431860764002</v>
      </c>
    </row>
    <row r="23" ht="20.05" customHeight="1">
      <c r="B23" s="29"/>
      <c r="C23" s="13">
        <v>5746.1</v>
      </c>
      <c r="D23" s="22"/>
      <c r="E23" s="14">
        <v>33.2</v>
      </c>
      <c r="F23" s="14">
        <v>109.8</v>
      </c>
      <c r="G23" s="16">
        <f>C23/C22-1</f>
        <v>0.0494584771610688</v>
      </c>
      <c r="H23" s="16">
        <f>(E23+F23-C23)/C23</f>
        <v>-0.975113555280973</v>
      </c>
      <c r="I23" s="16">
        <f>AVERAGE(H20:H23)</f>
        <v>-0.968101030436462</v>
      </c>
      <c r="J23" s="16"/>
      <c r="K23" s="16">
        <f>('Cashflow '!D22+'Cashflow '!F22-'Cashflow '!C22)/'Cashflow '!C22</f>
        <v>-0.931854983040447</v>
      </c>
    </row>
    <row r="24" ht="20.05" customHeight="1">
      <c r="B24" s="30">
        <v>2020</v>
      </c>
      <c r="C24" s="13">
        <v>5574.18</v>
      </c>
      <c r="D24" s="22"/>
      <c r="E24" s="14">
        <v>32.8</v>
      </c>
      <c r="F24" s="14">
        <v>175.85</v>
      </c>
      <c r="G24" s="16">
        <f>C24/C23-1</f>
        <v>-0.0299194236090566</v>
      </c>
      <c r="H24" s="16">
        <f>(E24+F24-C24)/C24</f>
        <v>-0.962568485409513</v>
      </c>
      <c r="I24" s="16">
        <f>AVERAGE(H21:H24)</f>
        <v>-0.966759203467415</v>
      </c>
      <c r="J24" s="16"/>
      <c r="K24" s="16">
        <f>('Cashflow '!D23+'Cashflow '!F23-'Cashflow '!C23)/'Cashflow '!C23</f>
        <v>-0.933680464621879</v>
      </c>
    </row>
    <row r="25" ht="20.05" customHeight="1">
      <c r="B25" s="29"/>
      <c r="C25" s="13">
        <v>5927.62</v>
      </c>
      <c r="D25" s="22"/>
      <c r="E25" s="14">
        <v>33.5</v>
      </c>
      <c r="F25" s="14">
        <v>146.25</v>
      </c>
      <c r="G25" s="16">
        <f>C25/C24-1</f>
        <v>0.06340663559483189</v>
      </c>
      <c r="H25" s="16">
        <f>(E25+F25-C25)/C25</f>
        <v>-0.969675856414547</v>
      </c>
      <c r="I25" s="16">
        <f>AVERAGE(H22:H25)</f>
        <v>-0.968246337827114</v>
      </c>
      <c r="J25" s="16"/>
      <c r="K25" s="16">
        <f>('Cashflow '!D24+'Cashflow '!F24-'Cashflow '!C24)/'Cashflow '!C24</f>
        <v>-0.998071260052696</v>
      </c>
    </row>
    <row r="26" ht="20.05" customHeight="1">
      <c r="B26" s="29"/>
      <c r="C26" s="13">
        <v>5367.1</v>
      </c>
      <c r="D26" s="22"/>
      <c r="E26" s="14">
        <v>34.9</v>
      </c>
      <c r="F26" s="14">
        <v>115.6</v>
      </c>
      <c r="G26" s="16">
        <f>C26/C25-1</f>
        <v>-0.09456071745489759</v>
      </c>
      <c r="H26" s="16">
        <f>(E26+F26-C26)/C26</f>
        <v>-0.9719587859365389</v>
      </c>
      <c r="I26" s="16">
        <f>AVERAGE(H23:H26)</f>
        <v>-0.969829170760393</v>
      </c>
      <c r="J26" s="16"/>
      <c r="K26" s="16">
        <f>('Cashflow '!D25+'Cashflow '!F25-'Cashflow '!C25)/'Cashflow '!C25</f>
        <v>-1.03574602547645</v>
      </c>
    </row>
    <row r="27" ht="20.05" customHeight="1">
      <c r="B27" s="29"/>
      <c r="C27" s="17">
        <v>5676.5</v>
      </c>
      <c r="D27" s="22"/>
      <c r="E27" s="14">
        <v>99.8</v>
      </c>
      <c r="F27" s="14">
        <v>242.2</v>
      </c>
      <c r="G27" s="16">
        <f>C27/C26-1</f>
        <v>0.0576475191444169</v>
      </c>
      <c r="H27" s="16">
        <f>(E27+F27-C27)/C27</f>
        <v>-0.9397516075046241</v>
      </c>
      <c r="I27" s="16">
        <f>AVERAGE(H24:H27)</f>
        <v>-0.960988683816306</v>
      </c>
      <c r="J27" s="16"/>
      <c r="K27" s="16">
        <f>('Cashflow '!D26+'Cashflow '!F26-'Cashflow '!C26)/'Cashflow '!C26</f>
        <v>-0.85028459140805</v>
      </c>
    </row>
    <row r="28" ht="20.05" customHeight="1">
      <c r="B28" s="30">
        <v>2021</v>
      </c>
      <c r="C28" s="13">
        <v>5775.7</v>
      </c>
      <c r="D28" s="22"/>
      <c r="E28" s="14">
        <v>36.9</v>
      </c>
      <c r="F28" s="14">
        <v>229.102</v>
      </c>
      <c r="G28" s="16">
        <f>C28/C27-1</f>
        <v>0.0174755571214657</v>
      </c>
      <c r="H28" s="16">
        <f>(E28+F28-C28)/C28</f>
        <v>-0.953944630088128</v>
      </c>
      <c r="I28" s="16">
        <f>AVERAGE(H25:H28)</f>
        <v>-0.95883271998596</v>
      </c>
      <c r="J28" s="16"/>
      <c r="K28" s="16">
        <f>('Cashflow '!D27+'Cashflow '!F27-'Cashflow '!C27)/'Cashflow '!C27</f>
        <v>-0.945944610926335</v>
      </c>
    </row>
    <row r="29" ht="20.05" customHeight="1">
      <c r="B29" s="29"/>
      <c r="C29" s="13">
        <f>12231.3-C28</f>
        <v>6455.6</v>
      </c>
      <c r="D29" s="14">
        <v>5948.971</v>
      </c>
      <c r="E29" s="14">
        <f>74.3-E28</f>
        <v>37.4</v>
      </c>
      <c r="F29" s="14">
        <f>409.8-F28</f>
        <v>180.698</v>
      </c>
      <c r="G29" s="16">
        <f>C29/C28-1</f>
        <v>0.11771733296397</v>
      </c>
      <c r="H29" s="16">
        <f>(E29+F29-C29)/C29</f>
        <v>-0.966215688704381</v>
      </c>
      <c r="I29" s="16">
        <f>AVERAGE(H26:H29)</f>
        <v>-0.957967678058418</v>
      </c>
      <c r="J29" s="16"/>
      <c r="K29" s="16">
        <f>('Cashflow '!D28+'Cashflow '!F28-'Cashflow '!C28)/'Cashflow '!C28</f>
        <v>-1.03852440260207</v>
      </c>
    </row>
    <row r="30" ht="20.05" customHeight="1">
      <c r="B30" s="29"/>
      <c r="C30" s="13">
        <f>18816.7-SUM(C28:C29)</f>
        <v>6585.4</v>
      </c>
      <c r="D30" s="14">
        <v>6068.264</v>
      </c>
      <c r="E30" s="14">
        <f>112.48-SUM(E28:E29)</f>
        <v>38.18</v>
      </c>
      <c r="F30" s="14">
        <f>670.1-SUM(F28:F29)</f>
        <v>260.3</v>
      </c>
      <c r="G30" s="16">
        <f>C30/C29-1</f>
        <v>0.0201065741371832</v>
      </c>
      <c r="H30" s="16">
        <f>(E30+F30-C30)/C30</f>
        <v>-0.954675494275215</v>
      </c>
      <c r="I30" s="16">
        <f>AVERAGE(H27:H30)</f>
        <v>-0.953646855143087</v>
      </c>
      <c r="J30" s="16"/>
      <c r="K30" s="16">
        <f>('Cashflow '!D29+'Cashflow '!F29-'Cashflow '!C29)/'Cashflow '!C29</f>
        <v>-1.01137882927396</v>
      </c>
    </row>
    <row r="31" ht="20.05" customHeight="1">
      <c r="B31" s="29"/>
      <c r="C31" s="13">
        <f>25673.8-SUM(C28:C30)</f>
        <v>6857.1</v>
      </c>
      <c r="D31" s="14">
        <v>6914.67</v>
      </c>
      <c r="E31" s="14">
        <f>151.6-SUM(E28:E30)</f>
        <v>39.12</v>
      </c>
      <c r="F31" s="14">
        <f>846.2-SUM(F28:F30)</f>
        <v>176.1</v>
      </c>
      <c r="G31" s="16">
        <f>C31/C30-1</f>
        <v>0.0412579342181189</v>
      </c>
      <c r="H31" s="16">
        <f>(E31+F31-C31)/C31</f>
        <v>-0.968613553834711</v>
      </c>
      <c r="I31" s="16">
        <f>AVERAGE(H28:H31)</f>
        <v>-0.960862341725609</v>
      </c>
      <c r="J31" s="16">
        <f>I31</f>
        <v>-0.960862341725609</v>
      </c>
      <c r="K31" s="16">
        <f>('Cashflow '!D30+'Cashflow '!F30-'Cashflow '!C30)/'Cashflow '!C30</f>
        <v>-0.936730606009167</v>
      </c>
    </row>
    <row r="32" ht="20.05" customHeight="1">
      <c r="B32" s="30">
        <v>2022</v>
      </c>
      <c r="C32" s="31"/>
      <c r="D32" s="14">
        <f>'Model'!C6</f>
        <v>6719.958</v>
      </c>
      <c r="E32" s="22"/>
      <c r="F32" s="32"/>
      <c r="G32" s="12"/>
      <c r="H32" s="22"/>
      <c r="I32" s="16"/>
      <c r="J32" s="16">
        <f>'Model'!C7</f>
        <v>-0.960862341725609</v>
      </c>
      <c r="K32" s="16"/>
    </row>
    <row r="33" ht="20.05" customHeight="1">
      <c r="B33" s="29"/>
      <c r="C33" s="13"/>
      <c r="D33" s="14">
        <f>'Model'!D6</f>
        <v>6988.75632</v>
      </c>
      <c r="E33" s="22"/>
      <c r="F33" s="32"/>
      <c r="G33" s="12"/>
      <c r="H33" s="12"/>
      <c r="I33" s="12"/>
      <c r="J33" s="12"/>
      <c r="K33" s="12"/>
    </row>
    <row r="34" ht="20.05" customHeight="1">
      <c r="B34" s="29"/>
      <c r="C34" s="13"/>
      <c r="D34" s="14">
        <f>'Model'!E6</f>
        <v>7198.4190096</v>
      </c>
      <c r="E34" s="22"/>
      <c r="F34" s="32"/>
      <c r="G34" s="12"/>
      <c r="H34" s="12"/>
      <c r="I34" s="12"/>
      <c r="J34" s="12"/>
      <c r="K34" s="12"/>
    </row>
    <row r="35" ht="20.05" customHeight="1">
      <c r="B35" s="29"/>
      <c r="C35" s="13"/>
      <c r="D35" s="14">
        <f>'Model'!F6</f>
        <v>7414.371579888</v>
      </c>
      <c r="E35" s="22"/>
      <c r="F35" s="32"/>
      <c r="G35" s="12"/>
      <c r="H35" s="12"/>
      <c r="I35" s="12"/>
      <c r="J35" s="12"/>
      <c r="K35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938" style="33" customWidth="1"/>
    <col min="2" max="2" width="9.21094" style="33" customWidth="1"/>
    <col min="3" max="4" width="11.9688" style="33" customWidth="1"/>
    <col min="5" max="5" width="12.4453" style="33" customWidth="1"/>
    <col min="6" max="7" width="11.9688" style="33" customWidth="1"/>
    <col min="8" max="16" width="10.9531" style="33" customWidth="1"/>
    <col min="17" max="16384" width="16.3516" style="33" customWidth="1"/>
  </cols>
  <sheetData>
    <row r="1" ht="59.05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48</v>
      </c>
      <c r="C3" t="s" s="5">
        <v>49</v>
      </c>
      <c r="D3" t="s" s="5">
        <v>8</v>
      </c>
      <c r="E3" t="s" s="5">
        <v>9</v>
      </c>
      <c r="F3" t="s" s="5">
        <v>50</v>
      </c>
      <c r="G3" t="s" s="5">
        <v>51</v>
      </c>
      <c r="H3" t="s" s="5">
        <v>52</v>
      </c>
      <c r="I3" t="s" s="5">
        <v>26</v>
      </c>
      <c r="J3" t="s" s="5">
        <v>14</v>
      </c>
      <c r="K3" t="s" s="5">
        <v>53</v>
      </c>
      <c r="L3" t="s" s="5">
        <v>34</v>
      </c>
      <c r="M3" t="s" s="5">
        <v>36</v>
      </c>
      <c r="N3" t="s" s="5">
        <v>30</v>
      </c>
      <c r="O3" t="s" s="5">
        <v>36</v>
      </c>
      <c r="P3" s="34"/>
    </row>
    <row r="4" ht="20.25" customHeight="1">
      <c r="B4" s="25">
        <v>2015</v>
      </c>
      <c r="C4" s="35">
        <v>4555.29</v>
      </c>
      <c r="D4" s="36">
        <v>22.7</v>
      </c>
      <c r="E4" s="36">
        <v>-37</v>
      </c>
      <c r="F4" s="36">
        <v>-2.95</v>
      </c>
      <c r="G4" s="36">
        <v>0</v>
      </c>
      <c r="H4" s="36"/>
      <c r="I4" s="36"/>
      <c r="J4" s="36">
        <v>31.6</v>
      </c>
      <c r="K4" s="36">
        <f>F4+G4+D4+E4</f>
        <v>-17.25</v>
      </c>
      <c r="L4" s="36">
        <f>AVERAGE(K4:K4)</f>
        <v>-17.25</v>
      </c>
      <c r="M4" s="36"/>
      <c r="N4" s="36">
        <f>-(J4-F4-G4)</f>
        <v>-34.55</v>
      </c>
      <c r="O4" s="36"/>
      <c r="P4" s="36">
        <v>1</v>
      </c>
    </row>
    <row r="5" ht="20.05" customHeight="1">
      <c r="B5" s="29"/>
      <c r="C5" s="17">
        <v>4652.71</v>
      </c>
      <c r="D5" s="18">
        <v>-171.65</v>
      </c>
      <c r="E5" s="18">
        <v>-92.98</v>
      </c>
      <c r="F5" s="18">
        <v>-3.51</v>
      </c>
      <c r="G5" s="18">
        <v>0</v>
      </c>
      <c r="H5" s="18"/>
      <c r="I5" s="18"/>
      <c r="J5" s="18">
        <v>-4.041</v>
      </c>
      <c r="K5" s="18">
        <f>F5+G5+D5+E5</f>
        <v>-268.14</v>
      </c>
      <c r="L5" s="18">
        <f>AVERAGE(K4:K5)</f>
        <v>-142.695</v>
      </c>
      <c r="M5" s="18"/>
      <c r="N5" s="18">
        <f>-(J5-G5-F5)+N4</f>
        <v>-34.019</v>
      </c>
      <c r="O5" s="18"/>
      <c r="P5" s="18">
        <f>1+P4</f>
        <v>2</v>
      </c>
    </row>
    <row r="6" ht="20.05" customHeight="1">
      <c r="B6" s="29"/>
      <c r="C6" s="17">
        <v>4597.57</v>
      </c>
      <c r="D6" s="18">
        <v>203.11</v>
      </c>
      <c r="E6" s="18">
        <v>8.82</v>
      </c>
      <c r="F6" s="18">
        <v>-3.14</v>
      </c>
      <c r="G6" s="18">
        <v>0</v>
      </c>
      <c r="H6" s="18"/>
      <c r="I6" s="18"/>
      <c r="J6" s="18">
        <v>4192.941</v>
      </c>
      <c r="K6" s="18">
        <f>F6+G6+D6+E6</f>
        <v>208.79</v>
      </c>
      <c r="L6" s="18">
        <f>AVERAGE(K4:K6)</f>
        <v>-25.5333333333333</v>
      </c>
      <c r="M6" s="18"/>
      <c r="N6" s="18">
        <f>-(J6-G6-F6)+N5</f>
        <v>-4230.1</v>
      </c>
      <c r="O6" s="18"/>
      <c r="P6" s="18">
        <f>1+P5</f>
        <v>3</v>
      </c>
    </row>
    <row r="7" ht="20.05" customHeight="1">
      <c r="B7" s="29"/>
      <c r="C7" s="17">
        <v>5402.83</v>
      </c>
      <c r="D7" s="18">
        <v>560.41</v>
      </c>
      <c r="E7" s="18">
        <v>-75.63</v>
      </c>
      <c r="F7" s="18">
        <v>-3.43</v>
      </c>
      <c r="G7" s="18">
        <v>0</v>
      </c>
      <c r="H7" s="18"/>
      <c r="I7" s="18"/>
      <c r="J7" s="18">
        <v>-4248.19</v>
      </c>
      <c r="K7" s="18">
        <f>F7+G7+D7+E7</f>
        <v>481.35</v>
      </c>
      <c r="L7" s="18">
        <f>AVERAGE(K4:K7)</f>
        <v>101.1875</v>
      </c>
      <c r="M7" s="18"/>
      <c r="N7" s="18">
        <f>-(J7-G7-F7)+N6</f>
        <v>14.66</v>
      </c>
      <c r="O7" s="18"/>
      <c r="P7" s="18">
        <f>1+P6</f>
        <v>4</v>
      </c>
    </row>
    <row r="8" ht="20.05" customHeight="1">
      <c r="B8" s="30">
        <v>2016</v>
      </c>
      <c r="C8" s="17">
        <v>4803.6</v>
      </c>
      <c r="D8" s="18">
        <v>-119.5</v>
      </c>
      <c r="E8" s="18">
        <v>7.7</v>
      </c>
      <c r="F8" s="18">
        <v>-2.9</v>
      </c>
      <c r="G8" s="18">
        <v>0</v>
      </c>
      <c r="H8" s="18"/>
      <c r="I8" s="18"/>
      <c r="J8" s="18">
        <v>10.9</v>
      </c>
      <c r="K8" s="18">
        <f>F8+G8+D8+E8</f>
        <v>-114.7</v>
      </c>
      <c r="L8" s="18">
        <f>AVERAGE(K5:K8)</f>
        <v>76.825</v>
      </c>
      <c r="M8" s="18"/>
      <c r="N8" s="18">
        <f>-(J8-G8-F8)+N7</f>
        <v>0.86</v>
      </c>
      <c r="O8" s="18"/>
      <c r="P8" s="18">
        <f>1+P7</f>
        <v>5</v>
      </c>
    </row>
    <row r="9" ht="20.05" customHeight="1">
      <c r="B9" s="29"/>
      <c r="C9" s="17">
        <v>5341.4</v>
      </c>
      <c r="D9" s="18">
        <v>-165.9</v>
      </c>
      <c r="E9" s="18">
        <v>-20.5</v>
      </c>
      <c r="F9" s="18">
        <v>-2.8</v>
      </c>
      <c r="G9" s="18">
        <v>0</v>
      </c>
      <c r="H9" s="18"/>
      <c r="I9" s="18"/>
      <c r="J9" s="18">
        <v>-86</v>
      </c>
      <c r="K9" s="18">
        <f>F9+G9+D9+E9</f>
        <v>-189.2</v>
      </c>
      <c r="L9" s="18">
        <f>AVERAGE(K6:K9)</f>
        <v>96.56</v>
      </c>
      <c r="M9" s="18"/>
      <c r="N9" s="18">
        <f>-(J9-G9-F9)+N8</f>
        <v>84.06</v>
      </c>
      <c r="O9" s="18"/>
      <c r="P9" s="18">
        <f>1+P8</f>
        <v>6</v>
      </c>
    </row>
    <row r="10" ht="20.05" customHeight="1">
      <c r="B10" s="29"/>
      <c r="C10" s="17">
        <v>5107.8</v>
      </c>
      <c r="D10" s="18">
        <v>400.3</v>
      </c>
      <c r="E10" s="18">
        <v>-13.7</v>
      </c>
      <c r="F10" s="18">
        <v>-2.7</v>
      </c>
      <c r="G10" s="18">
        <v>0</v>
      </c>
      <c r="H10" s="18"/>
      <c r="I10" s="18"/>
      <c r="J10" s="18">
        <v>-2.9</v>
      </c>
      <c r="K10" s="18">
        <f>F10+G10+D10+E10</f>
        <v>383.9</v>
      </c>
      <c r="L10" s="18">
        <f>AVERAGE(K7:K10)</f>
        <v>140.3375</v>
      </c>
      <c r="M10" s="18"/>
      <c r="N10" s="18">
        <f>-(J10-G10-F10)+N9</f>
        <v>84.26000000000001</v>
      </c>
      <c r="O10" s="18"/>
      <c r="P10" s="18">
        <f>1+P9</f>
        <v>7</v>
      </c>
    </row>
    <row r="11" ht="20.05" customHeight="1">
      <c r="B11" s="29"/>
      <c r="C11" s="17">
        <v>5452.5</v>
      </c>
      <c r="D11" s="18">
        <v>129.9</v>
      </c>
      <c r="E11" s="18">
        <v>-5.2</v>
      </c>
      <c r="F11" s="18">
        <v>-2.4</v>
      </c>
      <c r="G11" s="18">
        <v>0</v>
      </c>
      <c r="H11" s="18"/>
      <c r="I11" s="18"/>
      <c r="J11" s="18">
        <v>-36.1</v>
      </c>
      <c r="K11" s="18">
        <f>F11+G11+D11+E11</f>
        <v>122.3</v>
      </c>
      <c r="L11" s="18">
        <f>AVERAGE(K8:K11)</f>
        <v>50.575</v>
      </c>
      <c r="M11" s="18"/>
      <c r="N11" s="18">
        <f>-(J11-G11-F11)+N10</f>
        <v>117.96</v>
      </c>
      <c r="O11" s="18"/>
      <c r="P11" s="18">
        <f>1+P10</f>
        <v>8</v>
      </c>
    </row>
    <row r="12" ht="20.05" customHeight="1">
      <c r="B12" s="30">
        <v>2017</v>
      </c>
      <c r="C12" s="17">
        <v>4934.3</v>
      </c>
      <c r="D12" s="18">
        <v>-394.5</v>
      </c>
      <c r="E12" s="18">
        <v>-23.4</v>
      </c>
      <c r="F12" s="18">
        <v>-2.1</v>
      </c>
      <c r="G12" s="18">
        <v>0</v>
      </c>
      <c r="H12" s="18"/>
      <c r="I12" s="18"/>
      <c r="J12" s="18">
        <v>-2.1</v>
      </c>
      <c r="K12" s="18">
        <f>F12+G12+D12+E12</f>
        <v>-420</v>
      </c>
      <c r="L12" s="18">
        <f>AVERAGE(K9:K12)</f>
        <v>-25.75</v>
      </c>
      <c r="M12" s="18"/>
      <c r="N12" s="18">
        <f>-(J12-G12-F12)+N11</f>
        <v>117.96</v>
      </c>
      <c r="O12" s="18"/>
      <c r="P12" s="18">
        <f>1+P11</f>
        <v>9</v>
      </c>
    </row>
    <row r="13" ht="20.05" customHeight="1">
      <c r="B13" s="29"/>
      <c r="C13" s="17">
        <v>5445.9</v>
      </c>
      <c r="D13" s="18">
        <v>-114.7</v>
      </c>
      <c r="E13" s="18">
        <v>-18.4</v>
      </c>
      <c r="F13" s="18">
        <v>-2.7</v>
      </c>
      <c r="G13" s="18">
        <v>0</v>
      </c>
      <c r="H13" s="18"/>
      <c r="I13" s="18"/>
      <c r="J13" s="18">
        <v>-16</v>
      </c>
      <c r="K13" s="18">
        <f>F13+G13+D13+E13</f>
        <v>-135.8</v>
      </c>
      <c r="L13" s="18">
        <f>AVERAGE(K10:K13)</f>
        <v>-12.4</v>
      </c>
      <c r="M13" s="18"/>
      <c r="N13" s="18">
        <f>-(J13-G13-F13)+N12</f>
        <v>131.26</v>
      </c>
      <c r="O13" s="18"/>
      <c r="P13" s="18">
        <f>1+P12</f>
        <v>10</v>
      </c>
    </row>
    <row r="14" ht="20.05" customHeight="1">
      <c r="B14" s="29"/>
      <c r="C14" s="17">
        <v>5334.6</v>
      </c>
      <c r="D14" s="18">
        <v>82.5</v>
      </c>
      <c r="E14" s="18">
        <v>-10.1</v>
      </c>
      <c r="F14" s="18">
        <v>-3.2</v>
      </c>
      <c r="G14" s="18">
        <v>0</v>
      </c>
      <c r="H14" s="18"/>
      <c r="I14" s="18"/>
      <c r="J14" s="18">
        <v>26.6</v>
      </c>
      <c r="K14" s="18">
        <f>F14+G14+D14+E14</f>
        <v>69.2</v>
      </c>
      <c r="L14" s="18">
        <f>AVERAGE(K11:K14)</f>
        <v>-91.075</v>
      </c>
      <c r="M14" s="18"/>
      <c r="N14" s="18">
        <f>-(J14-G14-F14)+N13</f>
        <v>101.46</v>
      </c>
      <c r="O14" s="18"/>
      <c r="P14" s="18">
        <f>1+P13</f>
        <v>11</v>
      </c>
    </row>
    <row r="15" ht="20.05" customHeight="1">
      <c r="B15" s="29"/>
      <c r="C15" s="17">
        <v>5669</v>
      </c>
      <c r="D15" s="18">
        <v>223.1</v>
      </c>
      <c r="E15" s="18">
        <v>-85.5</v>
      </c>
      <c r="F15" s="18">
        <v>2.6</v>
      </c>
      <c r="G15" s="18">
        <v>0</v>
      </c>
      <c r="H15" s="18"/>
      <c r="I15" s="18"/>
      <c r="J15" s="18">
        <v>-32</v>
      </c>
      <c r="K15" s="18">
        <f>F15+G15+D15+E15</f>
        <v>140.2</v>
      </c>
      <c r="L15" s="18">
        <f>AVERAGE(K12:K15)</f>
        <v>-86.59999999999999</v>
      </c>
      <c r="M15" s="18"/>
      <c r="N15" s="18">
        <f>-(J15-G15-F15)+N14</f>
        <v>136.06</v>
      </c>
      <c r="O15" s="18"/>
      <c r="P15" s="18">
        <f>1+P14</f>
        <v>12</v>
      </c>
    </row>
    <row r="16" ht="20.05" customHeight="1">
      <c r="B16" s="30">
        <v>2018</v>
      </c>
      <c r="C16" s="17">
        <v>5159.5</v>
      </c>
      <c r="D16" s="18">
        <v>81.3</v>
      </c>
      <c r="E16" s="18">
        <v>-25.9</v>
      </c>
      <c r="F16" s="18">
        <v>-1</v>
      </c>
      <c r="G16" s="18">
        <v>0</v>
      </c>
      <c r="H16" s="18"/>
      <c r="I16" s="18"/>
      <c r="J16" s="18">
        <v>-1</v>
      </c>
      <c r="K16" s="18">
        <f>F16+G16+D16+E16</f>
        <v>54.4</v>
      </c>
      <c r="L16" s="18">
        <f>AVERAGE(K13:K16)</f>
        <v>32</v>
      </c>
      <c r="M16" s="18"/>
      <c r="N16" s="18">
        <f>-(J16-G16-F16)+N15</f>
        <v>136.06</v>
      </c>
      <c r="O16" s="18"/>
      <c r="P16" s="18">
        <f>1+P15</f>
        <v>13</v>
      </c>
    </row>
    <row r="17" ht="20.05" customHeight="1">
      <c r="B17" s="29"/>
      <c r="C17" s="17">
        <v>5667.2</v>
      </c>
      <c r="D17" s="18">
        <v>-299.6</v>
      </c>
      <c r="E17" s="18">
        <v>-6.7</v>
      </c>
      <c r="F17" s="18">
        <v>-1.3</v>
      </c>
      <c r="G17" s="18">
        <v>0</v>
      </c>
      <c r="H17" s="18"/>
      <c r="I17" s="18"/>
      <c r="J17" s="18">
        <v>-14.7</v>
      </c>
      <c r="K17" s="18">
        <f>F17+G17+D17+E17</f>
        <v>-307.6</v>
      </c>
      <c r="L17" s="18">
        <f>AVERAGE(K14:K17)</f>
        <v>-10.95</v>
      </c>
      <c r="M17" s="18"/>
      <c r="N17" s="18">
        <f>-(J17-G17-F17)+N16</f>
        <v>149.46</v>
      </c>
      <c r="O17" s="18"/>
      <c r="P17" s="18">
        <f>1+P16</f>
        <v>14</v>
      </c>
    </row>
    <row r="18" ht="20.05" customHeight="1">
      <c r="B18" s="29"/>
      <c r="C18" s="17">
        <v>5325.1</v>
      </c>
      <c r="D18" s="18">
        <v>546.8</v>
      </c>
      <c r="E18" s="18">
        <v>-20.2</v>
      </c>
      <c r="F18" s="18">
        <v>-1.5</v>
      </c>
      <c r="G18" s="18">
        <v>0</v>
      </c>
      <c r="H18" s="18"/>
      <c r="I18" s="18"/>
      <c r="J18" s="18">
        <v>-1.7</v>
      </c>
      <c r="K18" s="18">
        <f>F18+G18+D18+E18</f>
        <v>525.1</v>
      </c>
      <c r="L18" s="18">
        <f>AVERAGE(K15:K18)</f>
        <v>103.025</v>
      </c>
      <c r="M18" s="18"/>
      <c r="N18" s="18">
        <f>-(J18-G18-F18)+N17</f>
        <v>149.66</v>
      </c>
      <c r="O18" s="18"/>
      <c r="P18" s="18">
        <f>1+P17</f>
        <v>15</v>
      </c>
    </row>
    <row r="19" ht="20.05" customHeight="1">
      <c r="B19" s="29"/>
      <c r="C19" s="17">
        <v>6105.2</v>
      </c>
      <c r="D19" s="18">
        <v>215.3</v>
      </c>
      <c r="E19" s="18">
        <v>-23.5</v>
      </c>
      <c r="F19" s="18">
        <v>-1.6</v>
      </c>
      <c r="G19" s="18">
        <v>0</v>
      </c>
      <c r="H19" s="18"/>
      <c r="I19" s="18"/>
      <c r="J19" s="18">
        <v>-1.6</v>
      </c>
      <c r="K19" s="18">
        <f>F19+G19+D19+E19</f>
        <v>190.2</v>
      </c>
      <c r="L19" s="18">
        <f>AVERAGE(K16:K19)</f>
        <v>115.525</v>
      </c>
      <c r="M19" s="18"/>
      <c r="N19" s="18">
        <f>-(J19-G19-F19)+N18</f>
        <v>149.66</v>
      </c>
      <c r="O19" s="18"/>
      <c r="P19" s="18">
        <f>1+P18</f>
        <v>16</v>
      </c>
    </row>
    <row r="20" ht="20.05" customHeight="1">
      <c r="B20" s="30">
        <v>2019</v>
      </c>
      <c r="C20" s="17">
        <v>5387.2</v>
      </c>
      <c r="D20" s="18">
        <v>87.2</v>
      </c>
      <c r="E20" s="18">
        <v>-79</v>
      </c>
      <c r="F20" s="18">
        <v>-1.1</v>
      </c>
      <c r="G20" s="18">
        <v>0</v>
      </c>
      <c r="H20" s="18"/>
      <c r="I20" s="18"/>
      <c r="J20" s="18">
        <v>-1.1</v>
      </c>
      <c r="K20" s="18">
        <f>F20+G20+D20+E20</f>
        <v>7.1</v>
      </c>
      <c r="L20" s="18">
        <f>AVERAGE(K17:K20)</f>
        <v>103.7</v>
      </c>
      <c r="M20" s="18"/>
      <c r="N20" s="18">
        <f>-(J20-G20-F20)+N19</f>
        <v>149.66</v>
      </c>
      <c r="O20" s="18"/>
      <c r="P20" s="18">
        <f>1+P19</f>
        <v>17</v>
      </c>
    </row>
    <row r="21" ht="20.05" customHeight="1">
      <c r="B21" s="29"/>
      <c r="C21" s="17">
        <v>6458.1</v>
      </c>
      <c r="D21" s="18">
        <v>-672.8</v>
      </c>
      <c r="E21" s="18">
        <v>-21.6</v>
      </c>
      <c r="F21" s="18">
        <v>-0.9</v>
      </c>
      <c r="G21" s="18">
        <v>0</v>
      </c>
      <c r="H21" s="18"/>
      <c r="I21" s="18"/>
      <c r="J21" s="18">
        <v>-201.8</v>
      </c>
      <c r="K21" s="18">
        <f>F21+G21+D21+E21</f>
        <v>-695.3</v>
      </c>
      <c r="L21" s="18">
        <f>AVERAGE(K18:K21)</f>
        <v>6.775</v>
      </c>
      <c r="M21" s="18"/>
      <c r="N21" s="18">
        <f>-(J21-G21-F21)+N20</f>
        <v>350.56</v>
      </c>
      <c r="O21" s="18"/>
      <c r="P21" s="18">
        <f>1+P20</f>
        <v>18</v>
      </c>
    </row>
    <row r="22" ht="20.05" customHeight="1">
      <c r="B22" s="29"/>
      <c r="C22" s="17">
        <v>5866.9</v>
      </c>
      <c r="D22" s="18">
        <v>437.8</v>
      </c>
      <c r="E22" s="18">
        <v>-73.40000000000001</v>
      </c>
      <c r="F22" s="18">
        <v>-38</v>
      </c>
      <c r="G22" s="18">
        <v>0</v>
      </c>
      <c r="H22" s="18"/>
      <c r="I22" s="18"/>
      <c r="J22" s="18">
        <v>-44.7</v>
      </c>
      <c r="K22" s="18">
        <f>F22+G22+D22+E22</f>
        <v>326.4</v>
      </c>
      <c r="L22" s="18">
        <f>AVERAGE(K19:K22)</f>
        <v>-42.9</v>
      </c>
      <c r="M22" s="18"/>
      <c r="N22" s="18">
        <f>-(J22-G22-F22)+N21</f>
        <v>357.26</v>
      </c>
      <c r="O22" s="18"/>
      <c r="P22" s="18">
        <f>1+P21</f>
        <v>19</v>
      </c>
    </row>
    <row r="23" ht="20.05" customHeight="1">
      <c r="B23" s="29"/>
      <c r="C23" s="17">
        <v>6491.3</v>
      </c>
      <c r="D23" s="18">
        <v>396.7</v>
      </c>
      <c r="E23" s="18">
        <v>-88.90000000000001</v>
      </c>
      <c r="F23" s="18">
        <v>33.8</v>
      </c>
      <c r="G23" s="18">
        <v>0</v>
      </c>
      <c r="H23" s="18"/>
      <c r="I23" s="18"/>
      <c r="J23" s="18">
        <v>-2.4</v>
      </c>
      <c r="K23" s="18">
        <f>F23+G23+D23+E23</f>
        <v>341.6</v>
      </c>
      <c r="L23" s="18">
        <f>AVERAGE(K20:K23)</f>
        <v>-5.05</v>
      </c>
      <c r="M23" s="18"/>
      <c r="N23" s="18">
        <f>-(J23-G23-F23)+N22</f>
        <v>393.46</v>
      </c>
      <c r="O23" s="18"/>
      <c r="P23" s="18">
        <f>1+P22</f>
        <v>20</v>
      </c>
    </row>
    <row r="24" ht="20.05" customHeight="1">
      <c r="B24" s="30">
        <v>2020</v>
      </c>
      <c r="C24" s="17">
        <v>5806.9</v>
      </c>
      <c r="D24" s="18">
        <v>13.2</v>
      </c>
      <c r="E24" s="18">
        <v>-59.4</v>
      </c>
      <c r="F24" s="18">
        <v>-2</v>
      </c>
      <c r="G24" s="18">
        <v>-4.3</v>
      </c>
      <c r="H24" s="18">
        <f>J24-I24-G24-F24</f>
        <v>-0.1</v>
      </c>
      <c r="I24" s="18">
        <v>0</v>
      </c>
      <c r="J24" s="18">
        <v>-6.4</v>
      </c>
      <c r="K24" s="18">
        <f>F24+G24+D24+E24</f>
        <v>-52.5</v>
      </c>
      <c r="L24" s="18">
        <f>AVERAGE(K21:K24)</f>
        <v>-19.95</v>
      </c>
      <c r="M24" s="18"/>
      <c r="N24" s="18">
        <f>-(J24-G24-F24)+N23</f>
        <v>393.56</v>
      </c>
      <c r="O24" s="18"/>
      <c r="P24" s="18">
        <f>1+P23</f>
        <v>21</v>
      </c>
    </row>
    <row r="25" ht="20.05" customHeight="1">
      <c r="B25" s="29"/>
      <c r="C25" s="17">
        <v>7088.9</v>
      </c>
      <c r="D25" s="18">
        <v>-250.8</v>
      </c>
      <c r="E25" s="18">
        <v>-27.9</v>
      </c>
      <c r="F25" s="18">
        <v>-2.6</v>
      </c>
      <c r="G25" s="18">
        <v>4.3</v>
      </c>
      <c r="H25" s="18">
        <f>J25-I25-G25-F25</f>
        <v>75.09999999999999</v>
      </c>
      <c r="I25" s="18">
        <f>-240.9-I24</f>
        <v>-240.9</v>
      </c>
      <c r="J25" s="18">
        <v>-164.1</v>
      </c>
      <c r="K25" s="18">
        <f>F25+G25+D25+E25</f>
        <v>-277</v>
      </c>
      <c r="L25" s="18">
        <f>AVERAGE(K22:K25)</f>
        <v>84.625</v>
      </c>
      <c r="M25" s="18"/>
      <c r="N25" s="18">
        <f>-(J25-G25-F25)+N24</f>
        <v>559.36</v>
      </c>
      <c r="O25" s="18"/>
      <c r="P25" s="18">
        <f>1+P24</f>
        <v>22</v>
      </c>
    </row>
    <row r="26" ht="20.05" customHeight="1">
      <c r="B26" s="29"/>
      <c r="C26" s="17">
        <v>5903.2</v>
      </c>
      <c r="D26" s="18">
        <v>949.2</v>
      </c>
      <c r="E26" s="18">
        <v>-48.4</v>
      </c>
      <c r="F26" s="18">
        <v>-65.40000000000001</v>
      </c>
      <c r="G26" s="18">
        <v>0</v>
      </c>
      <c r="H26" s="18">
        <f>J26-I26-G26-F26</f>
        <v>-7.7</v>
      </c>
      <c r="I26" s="18">
        <f>-243.8-SUM(I24:I25)</f>
        <v>-2.9</v>
      </c>
      <c r="J26" s="18">
        <v>-76</v>
      </c>
      <c r="K26" s="18">
        <f>F26+G26+D26+E26</f>
        <v>835.4</v>
      </c>
      <c r="L26" s="18">
        <f>AVERAGE(K23:K26)</f>
        <v>211.875</v>
      </c>
      <c r="M26" s="18"/>
      <c r="N26" s="18">
        <f>-(J26-G26-F26)+N25</f>
        <v>569.96</v>
      </c>
      <c r="O26" s="18"/>
      <c r="P26" s="18">
        <f>1+P25</f>
        <v>23</v>
      </c>
    </row>
    <row r="27" ht="20.05" customHeight="1">
      <c r="B27" s="29"/>
      <c r="C27" s="17">
        <v>6073.4</v>
      </c>
      <c r="D27" s="18">
        <v>269.1</v>
      </c>
      <c r="E27" s="18">
        <v>-20.8</v>
      </c>
      <c r="F27" s="18">
        <v>59.2</v>
      </c>
      <c r="G27" s="18">
        <v>-8.6</v>
      </c>
      <c r="H27" s="18">
        <f>J27-I27-G27-F27</f>
        <v>-67.40000000000001</v>
      </c>
      <c r="I27" s="18">
        <f>16.4-243.8-SUM(I24:I26)</f>
        <v>16.4</v>
      </c>
      <c r="J27" s="18">
        <v>-0.4</v>
      </c>
      <c r="K27" s="18">
        <f>F27+G27+D27+E27</f>
        <v>298.9</v>
      </c>
      <c r="L27" s="18">
        <f>AVERAGE(K24:K27)</f>
        <v>201.2</v>
      </c>
      <c r="M27" s="18"/>
      <c r="N27" s="18">
        <f>-(J27-G27-F27)+N26</f>
        <v>620.96</v>
      </c>
      <c r="O27" s="18"/>
      <c r="P27" s="18">
        <f>1+P26</f>
        <v>24</v>
      </c>
    </row>
    <row r="28" ht="20.05" customHeight="1">
      <c r="B28" s="30">
        <v>2021</v>
      </c>
      <c r="C28" s="17">
        <v>6118.2</v>
      </c>
      <c r="D28" s="18">
        <v>-233.7</v>
      </c>
      <c r="E28" s="18">
        <v>2.5</v>
      </c>
      <c r="F28" s="18">
        <v>-2</v>
      </c>
      <c r="G28" s="18">
        <v>-12.7</v>
      </c>
      <c r="H28" s="18">
        <f>J28-I28-G28-F28</f>
        <v>0</v>
      </c>
      <c r="I28" s="18">
        <v>0</v>
      </c>
      <c r="J28" s="18">
        <v>-14.7</v>
      </c>
      <c r="K28" s="18">
        <f>F28+G28+D28+E28</f>
        <v>-245.9</v>
      </c>
      <c r="L28" s="18">
        <f>AVERAGE(K25:K28)</f>
        <v>152.85</v>
      </c>
      <c r="M28" s="18"/>
      <c r="N28" s="18">
        <f>-(J28-G28-F28)+N27</f>
        <v>620.96</v>
      </c>
      <c r="O28" s="18"/>
      <c r="P28" s="18">
        <f>1+P27</f>
        <v>25</v>
      </c>
    </row>
    <row r="29" ht="20.05" customHeight="1">
      <c r="B29" s="29"/>
      <c r="C29" s="17">
        <f>12999.4-C28</f>
        <v>6881.2</v>
      </c>
      <c r="D29" s="18">
        <f>-309.8-D28</f>
        <v>-76.09999999999999</v>
      </c>
      <c r="E29" s="18">
        <f>-25.5-E28</f>
        <v>-28</v>
      </c>
      <c r="F29" s="18">
        <f>-4.2-F28</f>
        <v>-2.2</v>
      </c>
      <c r="G29" s="18">
        <f>-14.4-G28</f>
        <v>-1.7</v>
      </c>
      <c r="H29" s="18">
        <f>J29-I29-G29-F29</f>
        <v>99.90000000000001</v>
      </c>
      <c r="I29" s="18">
        <f>-539-I28</f>
        <v>-539</v>
      </c>
      <c r="J29" s="18">
        <f>-457.7-J28</f>
        <v>-443</v>
      </c>
      <c r="K29" s="18">
        <f>F29+G29+D29+E29</f>
        <v>-108</v>
      </c>
      <c r="L29" s="18">
        <f>AVERAGE(K26:K29)</f>
        <v>195.1</v>
      </c>
      <c r="M29" s="18"/>
      <c r="N29" s="18">
        <f>-(J29-G29-F29)+N28</f>
        <v>1060.06</v>
      </c>
      <c r="O29" s="18"/>
      <c r="P29" s="18">
        <f>1+P28</f>
        <v>26</v>
      </c>
    </row>
    <row r="30" ht="20.05" customHeight="1">
      <c r="B30" s="29"/>
      <c r="C30" s="17">
        <f>20363.15-SUM(C28:C29)</f>
        <v>7363.75</v>
      </c>
      <c r="D30" s="18">
        <f>158.8-SUM(D28:D29)</f>
        <v>468.6</v>
      </c>
      <c r="E30" s="18">
        <f>-38.4-SUM(E28:E29)</f>
        <v>-12.9</v>
      </c>
      <c r="F30" s="18">
        <f>-6.9-SUM(F28:F29)</f>
        <v>-2.7</v>
      </c>
      <c r="G30" s="18">
        <f>-14.4-SUM(G28:G29)</f>
        <v>0</v>
      </c>
      <c r="H30" s="18">
        <f>J30-I30-G30-F30</f>
        <v>-40</v>
      </c>
      <c r="I30" s="18">
        <f>-541.7-SUM(I28:I29)</f>
        <v>-2.7</v>
      </c>
      <c r="J30" s="18">
        <f>-503.1-SUM(J28:J29)</f>
        <v>-45.4</v>
      </c>
      <c r="K30" s="18">
        <f>F30+G30+D30+E30</f>
        <v>453</v>
      </c>
      <c r="L30" s="18">
        <f>AVERAGE(K27:K30)</f>
        <v>99.5</v>
      </c>
      <c r="M30" s="18"/>
      <c r="N30" s="18">
        <f>-(J30-G30-F30)+N29</f>
        <v>1102.76</v>
      </c>
      <c r="O30" s="18"/>
      <c r="P30" s="18">
        <f>1+P29</f>
        <v>27</v>
      </c>
    </row>
    <row r="31" ht="20.05" customHeight="1">
      <c r="B31" s="29"/>
      <c r="C31" s="17">
        <f>28332.2-SUM(C28:C30)</f>
        <v>7969.05</v>
      </c>
      <c r="D31" s="18">
        <f>404.8-SUM(D28:D30)</f>
        <v>246</v>
      </c>
      <c r="E31" s="18">
        <f>-133.8-SUM(E28:E30)</f>
        <v>-95.40000000000001</v>
      </c>
      <c r="F31" s="18">
        <f>-10.1-SUM(F28:F30)</f>
        <v>-3.2</v>
      </c>
      <c r="G31" s="18">
        <f>-16.3-SUM(G28:G30)</f>
        <v>-1.9</v>
      </c>
      <c r="H31" s="18">
        <f>J31-I31-G31-F31</f>
        <v>-60</v>
      </c>
      <c r="I31" s="18">
        <f>2-541.7-SUM(I28:I30)</f>
        <v>2</v>
      </c>
      <c r="J31" s="18">
        <f>-566.2-SUM(J28:J30)</f>
        <v>-63.1</v>
      </c>
      <c r="K31" s="18">
        <f>F31+G31+D31+E31</f>
        <v>145.5</v>
      </c>
      <c r="L31" s="18">
        <f>AVERAGE(K28:K31)</f>
        <v>61.15</v>
      </c>
      <c r="M31" s="18">
        <f>L31</f>
        <v>61.15</v>
      </c>
      <c r="N31" s="18">
        <f>-(J31-G31-F31)+N30</f>
        <v>1160.76</v>
      </c>
      <c r="O31" s="18">
        <f>N31</f>
        <v>1160.76</v>
      </c>
      <c r="P31" s="18">
        <f>1+P30</f>
        <v>28</v>
      </c>
    </row>
    <row r="32" ht="20.05" customHeight="1">
      <c r="B32" s="30">
        <v>2022</v>
      </c>
      <c r="C32" s="17"/>
      <c r="D32" s="18"/>
      <c r="E32" s="18"/>
      <c r="F32" s="18"/>
      <c r="G32" s="18"/>
      <c r="H32" s="18"/>
      <c r="I32" s="18"/>
      <c r="J32" s="18"/>
      <c r="K32" s="18"/>
      <c r="L32" s="22"/>
      <c r="M32" s="18">
        <f>SUM('Model'!F9:F10)</f>
        <v>256.731141213010</v>
      </c>
      <c r="N32" s="22"/>
      <c r="O32" s="18">
        <f>'Model'!F32</f>
        <v>2135.397380964020</v>
      </c>
      <c r="P32" s="18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29688" style="37" customWidth="1"/>
    <col min="2" max="10" width="9.09375" style="37" customWidth="1"/>
    <col min="11" max="16384" width="16.3516" style="37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54</v>
      </c>
      <c r="C2" t="s" s="5">
        <v>55</v>
      </c>
      <c r="D2" t="s" s="5">
        <v>56</v>
      </c>
      <c r="E2" t="s" s="5">
        <v>57</v>
      </c>
      <c r="F2" t="s" s="5">
        <v>10</v>
      </c>
      <c r="G2" t="s" s="5">
        <v>11</v>
      </c>
      <c r="H2" t="s" s="5">
        <v>27</v>
      </c>
      <c r="I2" t="s" s="5">
        <v>58</v>
      </c>
      <c r="J2" t="s" s="5">
        <v>36</v>
      </c>
    </row>
    <row r="3" ht="20.25" customHeight="1">
      <c r="A3" s="25">
        <v>2015</v>
      </c>
      <c r="B3" s="35">
        <v>739.58</v>
      </c>
      <c r="C3" s="36">
        <v>6164</v>
      </c>
      <c r="D3" s="36">
        <f>C3-B3</f>
        <v>5424.42</v>
      </c>
      <c r="E3" s="36">
        <f>531+47</f>
        <v>578</v>
      </c>
      <c r="F3" s="36">
        <v>2517.5</v>
      </c>
      <c r="G3" s="36">
        <v>3646.9</v>
      </c>
      <c r="H3" s="36">
        <f>F3+G3-B3-D3</f>
        <v>0.4</v>
      </c>
      <c r="I3" s="36">
        <f>B3-F3</f>
        <v>-1777.92</v>
      </c>
      <c r="J3" s="36"/>
    </row>
    <row r="4" ht="20.05" customHeight="1">
      <c r="A4" s="29"/>
      <c r="B4" s="17">
        <v>485.52</v>
      </c>
      <c r="C4" s="18">
        <v>6464.8</v>
      </c>
      <c r="D4" s="18">
        <f>C4-B4</f>
        <v>5979.28</v>
      </c>
      <c r="E4" s="18">
        <f>553+48</f>
        <v>601</v>
      </c>
      <c r="F4" s="18">
        <v>2699.38</v>
      </c>
      <c r="G4" s="18">
        <v>3765.5</v>
      </c>
      <c r="H4" s="18">
        <f>F4+G4-B4-D4</f>
        <v>0.08</v>
      </c>
      <c r="I4" s="18">
        <f>B4-F4</f>
        <v>-2213.86</v>
      </c>
      <c r="J4" s="18"/>
    </row>
    <row r="5" ht="20.05" customHeight="1">
      <c r="A5" s="29"/>
      <c r="B5" s="17">
        <v>693</v>
      </c>
      <c r="C5" s="18">
        <v>6461</v>
      </c>
      <c r="D5" s="18">
        <f>C5-B5</f>
        <v>5768</v>
      </c>
      <c r="E5" s="18">
        <f>49+578</f>
        <v>627</v>
      </c>
      <c r="F5" s="18">
        <v>2534</v>
      </c>
      <c r="G5" s="18">
        <v>3927</v>
      </c>
      <c r="H5" s="18">
        <f>F5+G5-B5-D5</f>
        <v>0</v>
      </c>
      <c r="I5" s="18">
        <f>B5-F5</f>
        <v>-1841</v>
      </c>
      <c r="J5" s="18"/>
    </row>
    <row r="6" ht="20.05" customHeight="1">
      <c r="A6" s="29"/>
      <c r="B6" s="17">
        <v>1129</v>
      </c>
      <c r="C6" s="18">
        <v>6747.9</v>
      </c>
      <c r="D6" s="18">
        <f>C6-B6</f>
        <v>5618.9</v>
      </c>
      <c r="E6" s="18">
        <f>599+50</f>
        <v>649</v>
      </c>
      <c r="F6" s="18">
        <v>2678</v>
      </c>
      <c r="G6" s="18">
        <v>4070</v>
      </c>
      <c r="H6" s="18">
        <f>F6+G6-B6-D6</f>
        <v>0.1</v>
      </c>
      <c r="I6" s="18">
        <f>B6-F6</f>
        <v>-1549</v>
      </c>
      <c r="J6" s="18"/>
    </row>
    <row r="7" ht="20.05" customHeight="1">
      <c r="A7" s="30">
        <v>2016</v>
      </c>
      <c r="B7" s="17">
        <v>1048</v>
      </c>
      <c r="C7" s="18">
        <v>6852</v>
      </c>
      <c r="D7" s="18">
        <f>C7-B7</f>
        <v>5804</v>
      </c>
      <c r="E7" s="18">
        <f>624+51</f>
        <v>675</v>
      </c>
      <c r="F7" s="18">
        <v>2654</v>
      </c>
      <c r="G7" s="18">
        <v>4198</v>
      </c>
      <c r="H7" s="18">
        <f>F7+G7-B7-D7</f>
        <v>0</v>
      </c>
      <c r="I7" s="18">
        <f>B7-F7</f>
        <v>-1606</v>
      </c>
      <c r="J7" s="18"/>
    </row>
    <row r="8" ht="20.05" customHeight="1">
      <c r="A8" s="29"/>
      <c r="B8" s="17">
        <v>776</v>
      </c>
      <c r="C8" s="18">
        <v>7069</v>
      </c>
      <c r="D8" s="18">
        <f>C8-B8</f>
        <v>6293</v>
      </c>
      <c r="E8" s="18">
        <f>650+51</f>
        <v>701</v>
      </c>
      <c r="F8" s="18">
        <v>2742</v>
      </c>
      <c r="G8" s="18">
        <v>4327</v>
      </c>
      <c r="H8" s="18">
        <f>F8+G8-B8-D8</f>
        <v>0</v>
      </c>
      <c r="I8" s="18">
        <f>B8-F8</f>
        <v>-1966</v>
      </c>
      <c r="J8" s="18"/>
    </row>
    <row r="9" ht="20.05" customHeight="1">
      <c r="A9" s="29"/>
      <c r="B9" s="17">
        <v>1126</v>
      </c>
      <c r="C9" s="18">
        <v>7095</v>
      </c>
      <c r="D9" s="18">
        <f>C9-B9</f>
        <v>5969</v>
      </c>
      <c r="E9" s="18">
        <f>654+52</f>
        <v>706</v>
      </c>
      <c r="F9" s="18">
        <v>2649</v>
      </c>
      <c r="G9" s="18">
        <v>4446</v>
      </c>
      <c r="H9" s="18">
        <f>F9+G9-B9-D9</f>
        <v>0</v>
      </c>
      <c r="I9" s="18">
        <f>B9-F9</f>
        <v>-1523</v>
      </c>
      <c r="J9" s="18"/>
    </row>
    <row r="10" ht="20.05" customHeight="1">
      <c r="A10" s="29"/>
      <c r="B10" s="17">
        <v>1217</v>
      </c>
      <c r="C10" s="18">
        <v>7087</v>
      </c>
      <c r="D10" s="18">
        <f>C10-B10</f>
        <v>5870</v>
      </c>
      <c r="E10" s="18">
        <f>653+53</f>
        <v>706</v>
      </c>
      <c r="F10" s="18">
        <v>2467</v>
      </c>
      <c r="G10" s="18">
        <v>4620</v>
      </c>
      <c r="H10" s="18">
        <f>F10+G10-B10-D10</f>
        <v>0</v>
      </c>
      <c r="I10" s="18">
        <f>B10-F10</f>
        <v>-1250</v>
      </c>
      <c r="J10" s="18"/>
    </row>
    <row r="11" ht="20.05" customHeight="1">
      <c r="A11" s="30">
        <v>2017</v>
      </c>
      <c r="B11" s="17">
        <v>816</v>
      </c>
      <c r="C11" s="18">
        <v>7111</v>
      </c>
      <c r="D11" s="18">
        <f>C11-B11</f>
        <v>6295</v>
      </c>
      <c r="E11" s="18">
        <f>678+54</f>
        <v>732</v>
      </c>
      <c r="F11" s="18">
        <v>2397</v>
      </c>
      <c r="G11" s="18">
        <v>4714</v>
      </c>
      <c r="H11" s="18">
        <f>F11+G11-B11-D11</f>
        <v>0</v>
      </c>
      <c r="I11" s="18">
        <f>B11-F11</f>
        <v>-1581</v>
      </c>
      <c r="J11" s="18"/>
    </row>
    <row r="12" ht="20.05" customHeight="1">
      <c r="A12" s="29"/>
      <c r="B12" s="17">
        <v>686</v>
      </c>
      <c r="C12" s="18">
        <v>7323</v>
      </c>
      <c r="D12" s="18">
        <f>C12-B12</f>
        <v>6637</v>
      </c>
      <c r="E12" s="18">
        <f>701+55</f>
        <v>756</v>
      </c>
      <c r="F12" s="18">
        <v>2467</v>
      </c>
      <c r="G12" s="18">
        <v>4856</v>
      </c>
      <c r="H12" s="18">
        <f>F12+G12-B12-D12</f>
        <v>0</v>
      </c>
      <c r="I12" s="18">
        <f>B12-F12</f>
        <v>-1781</v>
      </c>
      <c r="J12" s="18"/>
    </row>
    <row r="13" ht="20.05" customHeight="1">
      <c r="A13" s="29"/>
      <c r="B13" s="17">
        <v>764</v>
      </c>
      <c r="C13" s="18">
        <v>7180</v>
      </c>
      <c r="D13" s="18">
        <f>C13-B13</f>
        <v>6416</v>
      </c>
      <c r="E13" s="18">
        <f>726+55</f>
        <v>781</v>
      </c>
      <c r="F13" s="18">
        <v>2227</v>
      </c>
      <c r="G13" s="18">
        <v>4953</v>
      </c>
      <c r="H13" s="18">
        <f>F13+G13-B13-D13</f>
        <v>0</v>
      </c>
      <c r="I13" s="18">
        <f>B13-F13</f>
        <v>-1463</v>
      </c>
      <c r="J13" s="18"/>
    </row>
    <row r="14" ht="20.05" customHeight="1">
      <c r="A14" s="29"/>
      <c r="B14" s="17">
        <v>811</v>
      </c>
      <c r="C14" s="18">
        <v>7426</v>
      </c>
      <c r="D14" s="18">
        <f>C14-B14</f>
        <v>6615</v>
      </c>
      <c r="E14" s="21">
        <f>746+56</f>
        <v>802</v>
      </c>
      <c r="F14" s="18">
        <v>2295</v>
      </c>
      <c r="G14" s="18">
        <v>5131</v>
      </c>
      <c r="H14" s="18">
        <f>F14+G14-B14-D14</f>
        <v>0</v>
      </c>
      <c r="I14" s="18">
        <f>B14-F14</f>
        <v>-1484</v>
      </c>
      <c r="J14" s="18"/>
    </row>
    <row r="15" ht="20.05" customHeight="1">
      <c r="A15" s="30">
        <v>2018</v>
      </c>
      <c r="B15" s="17">
        <v>869</v>
      </c>
      <c r="C15" s="18">
        <v>7472</v>
      </c>
      <c r="D15" s="18">
        <f>C15-B15</f>
        <v>6603</v>
      </c>
      <c r="E15" s="21">
        <f>768+57</f>
        <v>825</v>
      </c>
      <c r="F15" s="18">
        <v>2225</v>
      </c>
      <c r="G15" s="18">
        <v>5247</v>
      </c>
      <c r="H15" s="18">
        <f>F15+G15-B15-D15</f>
        <v>0</v>
      </c>
      <c r="I15" s="18">
        <f>B15-F15</f>
        <v>-1356</v>
      </c>
      <c r="J15" s="18"/>
    </row>
    <row r="16" ht="20.05" customHeight="1">
      <c r="A16" s="29"/>
      <c r="B16" s="17">
        <v>594</v>
      </c>
      <c r="C16" s="18">
        <v>7406</v>
      </c>
      <c r="D16" s="18">
        <f>C16-B16</f>
        <v>6812</v>
      </c>
      <c r="E16" s="21">
        <f>791+58</f>
        <v>849</v>
      </c>
      <c r="F16" s="18">
        <v>2004</v>
      </c>
      <c r="G16" s="18">
        <v>5402</v>
      </c>
      <c r="H16" s="18">
        <f>F16+G16-B16-D16</f>
        <v>0</v>
      </c>
      <c r="I16" s="18">
        <f>B16-F16</f>
        <v>-1410</v>
      </c>
      <c r="J16" s="18"/>
    </row>
    <row r="17" ht="20.05" customHeight="1">
      <c r="A17" s="29"/>
      <c r="B17" s="17">
        <v>1072</v>
      </c>
      <c r="C17" s="18">
        <v>8086</v>
      </c>
      <c r="D17" s="18">
        <f>C17-B17</f>
        <v>7014</v>
      </c>
      <c r="E17" s="21">
        <f>813+59</f>
        <v>872</v>
      </c>
      <c r="F17" s="18">
        <v>2497</v>
      </c>
      <c r="G17" s="18">
        <v>5589</v>
      </c>
      <c r="H17" s="18">
        <f>F17+G17-B17-D17</f>
        <v>0</v>
      </c>
      <c r="I17" s="18">
        <f>B17-F17</f>
        <v>-1425</v>
      </c>
      <c r="J17" s="18"/>
    </row>
    <row r="18" ht="20.05" customHeight="1">
      <c r="A18" s="29"/>
      <c r="B18" s="17">
        <v>1263</v>
      </c>
      <c r="C18" s="18">
        <v>8323</v>
      </c>
      <c r="D18" s="18">
        <f>C18-B18</f>
        <v>7060</v>
      </c>
      <c r="E18" s="21">
        <f>837+59</f>
        <v>896</v>
      </c>
      <c r="F18" s="18">
        <v>2535</v>
      </c>
      <c r="G18" s="18">
        <v>5788</v>
      </c>
      <c r="H18" s="18">
        <f>F18+G18-B18-D18</f>
        <v>0</v>
      </c>
      <c r="I18" s="18">
        <f>B18-F18</f>
        <v>-1272</v>
      </c>
      <c r="J18" s="18"/>
    </row>
    <row r="19" ht="20.05" customHeight="1">
      <c r="A19" s="30">
        <v>2019</v>
      </c>
      <c r="B19" s="17">
        <v>1269</v>
      </c>
      <c r="C19" s="18">
        <v>8706</v>
      </c>
      <c r="D19" s="18">
        <f>C19-B19</f>
        <v>7437</v>
      </c>
      <c r="E19" s="21">
        <f>862+60</f>
        <v>922</v>
      </c>
      <c r="F19" s="18">
        <v>2781</v>
      </c>
      <c r="G19" s="18">
        <v>5925</v>
      </c>
      <c r="H19" s="18">
        <f>F19+G19-B19-D19</f>
        <v>0</v>
      </c>
      <c r="I19" s="18">
        <f>B19-F19</f>
        <v>-1512</v>
      </c>
      <c r="J19" s="21"/>
    </row>
    <row r="20" ht="20.05" customHeight="1">
      <c r="A20" s="29"/>
      <c r="B20" s="17">
        <v>380</v>
      </c>
      <c r="C20" s="18">
        <v>7977</v>
      </c>
      <c r="D20" s="18">
        <f>C20-B20</f>
        <v>7597</v>
      </c>
      <c r="E20" s="21">
        <f>886+61</f>
        <v>947</v>
      </c>
      <c r="F20" s="18">
        <v>2111</v>
      </c>
      <c r="G20" s="18">
        <v>5866</v>
      </c>
      <c r="H20" s="18">
        <f>F20+G20-B20-D20</f>
        <v>0</v>
      </c>
      <c r="I20" s="18">
        <f>B20-F20</f>
        <v>-1731</v>
      </c>
      <c r="J20" s="21"/>
    </row>
    <row r="21" ht="20.05" customHeight="1">
      <c r="A21" s="29"/>
      <c r="B21" s="17">
        <v>693</v>
      </c>
      <c r="C21" s="18">
        <v>8374</v>
      </c>
      <c r="D21" s="18">
        <f>C21-B21</f>
        <v>7681</v>
      </c>
      <c r="E21" s="21">
        <f>913+62</f>
        <v>975</v>
      </c>
      <c r="F21" s="18">
        <v>2347</v>
      </c>
      <c r="G21" s="18">
        <v>6027</v>
      </c>
      <c r="H21" s="18">
        <f>F21+G21-B21-D21</f>
        <v>0</v>
      </c>
      <c r="I21" s="18">
        <f>B21-F21</f>
        <v>-1654</v>
      </c>
      <c r="J21" s="21"/>
    </row>
    <row r="22" ht="20.05" customHeight="1">
      <c r="A22" s="29"/>
      <c r="B22" s="17">
        <v>1041</v>
      </c>
      <c r="C22" s="18">
        <v>8705</v>
      </c>
      <c r="D22" s="18">
        <f>C22-B22</f>
        <v>7664</v>
      </c>
      <c r="E22" s="18">
        <f>63+937</f>
        <v>1000</v>
      </c>
      <c r="F22" s="18">
        <v>2576</v>
      </c>
      <c r="G22" s="18">
        <v>6129</v>
      </c>
      <c r="H22" s="18">
        <f>F22+G22-B22-D22</f>
        <v>0</v>
      </c>
      <c r="I22" s="18">
        <f>B22-F22</f>
        <v>-1535</v>
      </c>
      <c r="J22" s="21"/>
    </row>
    <row r="23" ht="20.05" customHeight="1">
      <c r="A23" s="30">
        <v>2020</v>
      </c>
      <c r="B23" s="17">
        <v>996</v>
      </c>
      <c r="C23" s="18">
        <v>9609</v>
      </c>
      <c r="D23" s="18">
        <f>C23-B23</f>
        <v>8613</v>
      </c>
      <c r="E23" s="18">
        <f>5+965+64</f>
        <v>1034</v>
      </c>
      <c r="F23" s="18">
        <v>3350</v>
      </c>
      <c r="G23" s="18">
        <v>6259</v>
      </c>
      <c r="H23" s="18">
        <f>F23+G23-B23-D23</f>
        <v>0</v>
      </c>
      <c r="I23" s="18">
        <f>B23-F23</f>
        <v>-2354</v>
      </c>
      <c r="J23" s="21"/>
    </row>
    <row r="24" ht="20.05" customHeight="1">
      <c r="A24" s="29"/>
      <c r="B24" s="17">
        <v>547</v>
      </c>
      <c r="C24" s="18">
        <v>8354</v>
      </c>
      <c r="D24" s="18">
        <f>C24-B24</f>
        <v>7807</v>
      </c>
      <c r="E24" s="18">
        <f>12+995+65</f>
        <v>1072</v>
      </c>
      <c r="F24" s="18">
        <v>2132</v>
      </c>
      <c r="G24" s="18">
        <v>6222</v>
      </c>
      <c r="H24" s="18">
        <f>F24+G24-B24-D24</f>
        <v>0</v>
      </c>
      <c r="I24" s="18">
        <f>B24-F24</f>
        <v>-1585</v>
      </c>
      <c r="J24" s="21"/>
    </row>
    <row r="25" ht="20.05" customHeight="1">
      <c r="A25" s="29"/>
      <c r="B25" s="17">
        <v>1373</v>
      </c>
      <c r="C25" s="18">
        <v>8924</v>
      </c>
      <c r="D25" s="18">
        <f>C25-B25</f>
        <v>7551</v>
      </c>
      <c r="E25" s="18">
        <f>18+1023+66</f>
        <v>1107</v>
      </c>
      <c r="F25" s="18">
        <v>2584</v>
      </c>
      <c r="G25" s="18">
        <v>6340</v>
      </c>
      <c r="H25" s="18">
        <f>F25+G25-B25-D25</f>
        <v>0</v>
      </c>
      <c r="I25" s="18">
        <f>B25-F25</f>
        <v>-1211</v>
      </c>
      <c r="J25" s="18"/>
    </row>
    <row r="26" ht="20.05" customHeight="1">
      <c r="A26" s="29"/>
      <c r="B26" s="17">
        <v>1619</v>
      </c>
      <c r="C26" s="18">
        <v>9212</v>
      </c>
      <c r="D26" s="18">
        <f>C26-B26</f>
        <v>7593</v>
      </c>
      <c r="E26" s="18">
        <f>25+1025+66</f>
        <v>1116</v>
      </c>
      <c r="F26" s="18">
        <v>2652</v>
      </c>
      <c r="G26" s="18">
        <v>6560</v>
      </c>
      <c r="H26" s="18">
        <f>F26+G26-B26-D26</f>
        <v>0</v>
      </c>
      <c r="I26" s="18">
        <f>B26-F26</f>
        <v>-1033</v>
      </c>
      <c r="J26" s="21"/>
    </row>
    <row r="27" ht="20.05" customHeight="1">
      <c r="A27" s="30">
        <v>2021</v>
      </c>
      <c r="B27" s="17">
        <v>1375</v>
      </c>
      <c r="C27" s="18">
        <v>9604</v>
      </c>
      <c r="D27" s="18">
        <f>C27-B27</f>
        <v>8229</v>
      </c>
      <c r="E27" s="18">
        <f>31+1051+68</f>
        <v>1150</v>
      </c>
      <c r="F27" s="18">
        <v>2813</v>
      </c>
      <c r="G27" s="18">
        <v>6791</v>
      </c>
      <c r="H27" s="18">
        <f>F27+G27-B27-D27</f>
        <v>0</v>
      </c>
      <c r="I27" s="18">
        <f>B27-F27</f>
        <v>-1438</v>
      </c>
      <c r="J27" s="18"/>
    </row>
    <row r="28" ht="20.05" customHeight="1">
      <c r="A28" s="29"/>
      <c r="B28" s="17">
        <v>827</v>
      </c>
      <c r="C28" s="18">
        <v>9187</v>
      </c>
      <c r="D28" s="18">
        <f>C28-B28</f>
        <v>8360</v>
      </c>
      <c r="E28" s="18">
        <f>37+1084+69</f>
        <v>1190</v>
      </c>
      <c r="F28" s="18">
        <v>2755</v>
      </c>
      <c r="G28" s="18">
        <v>6432</v>
      </c>
      <c r="H28" s="18">
        <f>F28+G28-B28-D28</f>
        <v>0</v>
      </c>
      <c r="I28" s="18">
        <f>B28-F28</f>
        <v>-1928</v>
      </c>
      <c r="J28" s="18"/>
    </row>
    <row r="29" ht="20.05" customHeight="1">
      <c r="A29" s="29"/>
      <c r="B29" s="17">
        <v>1237</v>
      </c>
      <c r="C29" s="18">
        <v>9777</v>
      </c>
      <c r="D29" s="18">
        <f>C29-B29</f>
        <v>8540</v>
      </c>
      <c r="E29" s="18">
        <f>1113+70+42</f>
        <v>1225</v>
      </c>
      <c r="F29" s="18">
        <v>3107</v>
      </c>
      <c r="G29" s="18">
        <v>6670</v>
      </c>
      <c r="H29" s="18">
        <f>F29+G29-B29-D29</f>
        <v>0</v>
      </c>
      <c r="I29" s="18">
        <f>B29-F29</f>
        <v>-1870</v>
      </c>
      <c r="J29" s="18">
        <f>I29</f>
        <v>-1870</v>
      </c>
    </row>
    <row r="30" ht="20.05" customHeight="1">
      <c r="A30" s="29"/>
      <c r="B30" s="17">
        <v>1325</v>
      </c>
      <c r="C30" s="18">
        <v>9730</v>
      </c>
      <c r="D30" s="18">
        <f>C30-B30</f>
        <v>8405</v>
      </c>
      <c r="E30" s="18">
        <f>E29+'Sales '!E31</f>
        <v>1264.12</v>
      </c>
      <c r="F30" s="18">
        <v>2883</v>
      </c>
      <c r="G30" s="18">
        <v>6847</v>
      </c>
      <c r="H30" s="18">
        <f>F30+G30-B30-D30</f>
        <v>0</v>
      </c>
      <c r="I30" s="18">
        <f>B30-F30</f>
        <v>-1558</v>
      </c>
      <c r="J30" s="18">
        <f>I30</f>
        <v>-1558</v>
      </c>
    </row>
    <row r="31" ht="20.05" customHeight="1">
      <c r="A31" s="30">
        <v>2022</v>
      </c>
      <c r="B31" s="17"/>
      <c r="C31" s="18"/>
      <c r="D31" s="18"/>
      <c r="E31" s="18"/>
      <c r="F31" s="18"/>
      <c r="G31" s="18"/>
      <c r="H31" s="18"/>
      <c r="I31" s="18"/>
      <c r="J31" s="18">
        <f>'Model'!F30</f>
        <v>-1059.341309517990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8594" style="38" customWidth="1"/>
    <col min="2" max="2" width="5.26562" style="38" customWidth="1"/>
    <col min="3" max="5" width="9.89844" style="38" customWidth="1"/>
    <col min="6" max="16384" width="16.3516" style="38" customWidth="1"/>
  </cols>
  <sheetData>
    <row r="1" ht="51.05" customHeight="1"/>
    <row r="2" ht="27.65" customHeight="1">
      <c r="B2" t="s" s="2">
        <v>59</v>
      </c>
      <c r="C2" s="2"/>
      <c r="D2" s="2"/>
      <c r="E2" s="2"/>
    </row>
    <row r="3" ht="20.25" customHeight="1">
      <c r="B3" s="4"/>
      <c r="C3" t="s" s="39">
        <v>60</v>
      </c>
      <c r="D3" t="s" s="39">
        <v>61</v>
      </c>
      <c r="E3" t="s" s="39">
        <v>62</v>
      </c>
    </row>
    <row r="4" ht="20.25" customHeight="1">
      <c r="B4" s="25">
        <v>2015</v>
      </c>
      <c r="C4" s="35">
        <v>2563.806885</v>
      </c>
      <c r="D4" s="36"/>
      <c r="E4" s="36"/>
    </row>
    <row r="5" ht="20.05" customHeight="1">
      <c r="B5" s="29"/>
      <c r="C5" s="17">
        <v>2650.196289</v>
      </c>
      <c r="D5" s="18"/>
      <c r="E5" s="18"/>
    </row>
    <row r="6" ht="20.05" customHeight="1">
      <c r="B6" s="29"/>
      <c r="C6" s="17">
        <v>1919.107666</v>
      </c>
      <c r="D6" s="18"/>
      <c r="E6" s="18"/>
    </row>
    <row r="7" ht="20.05" customHeight="1">
      <c r="B7" s="29"/>
      <c r="C7" s="17">
        <v>2741.582275</v>
      </c>
      <c r="D7" s="18"/>
      <c r="E7" s="18"/>
    </row>
    <row r="8" ht="20.05" customHeight="1">
      <c r="B8" s="30">
        <v>2016</v>
      </c>
      <c r="C8" s="17">
        <v>2467.424072</v>
      </c>
      <c r="D8" s="18"/>
      <c r="E8" s="18"/>
    </row>
    <row r="9" ht="20.05" customHeight="1">
      <c r="B9" s="29"/>
      <c r="C9" s="17">
        <v>2513.117188</v>
      </c>
      <c r="D9" s="18"/>
      <c r="E9" s="18"/>
    </row>
    <row r="10" ht="20.05" customHeight="1">
      <c r="B10" s="29"/>
      <c r="C10" s="17">
        <v>2655.302734</v>
      </c>
      <c r="D10" s="18"/>
      <c r="E10" s="18"/>
    </row>
    <row r="11" ht="20.05" customHeight="1">
      <c r="B11" s="29"/>
      <c r="C11" s="17">
        <v>2673.61499</v>
      </c>
      <c r="D11" s="18"/>
      <c r="E11" s="18"/>
    </row>
    <row r="12" ht="20.05" customHeight="1">
      <c r="B12" s="30">
        <v>2017</v>
      </c>
      <c r="C12" s="17">
        <v>2572.896729</v>
      </c>
      <c r="D12" s="18"/>
      <c r="E12" s="18"/>
    </row>
    <row r="13" ht="20.05" customHeight="1">
      <c r="B13" s="29"/>
      <c r="C13" s="17">
        <v>2655.302734</v>
      </c>
      <c r="D13" s="18"/>
      <c r="E13" s="18"/>
    </row>
    <row r="14" ht="20.05" customHeight="1">
      <c r="B14" s="29"/>
      <c r="C14" s="17">
        <v>2659.888428</v>
      </c>
      <c r="D14" s="18"/>
      <c r="E14" s="18"/>
    </row>
    <row r="15" ht="20.05" customHeight="1">
      <c r="B15" s="29"/>
      <c r="C15" s="17">
        <v>2742.436768</v>
      </c>
      <c r="D15" s="18"/>
      <c r="E15" s="18"/>
    </row>
    <row r="16" ht="20.05" customHeight="1">
      <c r="B16" s="30">
        <v>2018</v>
      </c>
      <c r="C16" s="17">
        <v>1834.405884</v>
      </c>
      <c r="D16" s="18"/>
      <c r="E16" s="18"/>
    </row>
    <row r="17" ht="20.05" customHeight="1">
      <c r="B17" s="29"/>
      <c r="C17" s="17">
        <v>1701.302612</v>
      </c>
      <c r="D17" s="18"/>
      <c r="E17" s="18"/>
    </row>
    <row r="18" ht="20.05" customHeight="1">
      <c r="B18" s="29"/>
      <c r="C18" s="17">
        <v>1784.068604</v>
      </c>
      <c r="D18" s="18"/>
      <c r="E18" s="18"/>
    </row>
    <row r="19" ht="20.05" customHeight="1">
      <c r="B19" s="29"/>
      <c r="C19" s="17">
        <v>1931.208374</v>
      </c>
      <c r="D19" s="18"/>
      <c r="E19" s="18"/>
    </row>
    <row r="20" ht="20.05" customHeight="1">
      <c r="B20" s="30">
        <v>2019</v>
      </c>
      <c r="C20" s="17">
        <v>2023.170654</v>
      </c>
      <c r="D20" s="18"/>
      <c r="E20" s="18"/>
    </row>
    <row r="21" ht="20.05" customHeight="1">
      <c r="B21" s="29"/>
      <c r="C21" s="17">
        <v>2290.908936</v>
      </c>
      <c r="D21" s="18"/>
      <c r="E21" s="18"/>
    </row>
    <row r="22" ht="20.05" customHeight="1">
      <c r="B22" s="29"/>
      <c r="C22" s="17">
        <v>2052.272705</v>
      </c>
      <c r="D22" s="18"/>
      <c r="E22" s="18"/>
    </row>
    <row r="23" ht="20.05" customHeight="1">
      <c r="B23" s="29"/>
      <c r="C23" s="17">
        <v>1956.818115</v>
      </c>
      <c r="D23" s="22"/>
      <c r="E23" s="22"/>
    </row>
    <row r="24" ht="20.05" customHeight="1">
      <c r="B24" s="30">
        <v>2020</v>
      </c>
      <c r="C24" s="17">
        <v>2243.181885</v>
      </c>
      <c r="D24" s="22"/>
      <c r="E24" s="22"/>
    </row>
    <row r="25" ht="20.05" customHeight="1">
      <c r="B25" s="29"/>
      <c r="C25" s="17">
        <v>1850</v>
      </c>
      <c r="D25" s="22"/>
      <c r="E25" s="22"/>
    </row>
    <row r="26" ht="20.05" customHeight="1">
      <c r="B26" s="29"/>
      <c r="C26" s="17">
        <v>1840</v>
      </c>
      <c r="D26" s="22"/>
      <c r="E26" s="22"/>
    </row>
    <row r="27" ht="20.05" customHeight="1">
      <c r="B27" s="29"/>
      <c r="C27" s="17">
        <v>2110</v>
      </c>
      <c r="D27" s="22"/>
      <c r="E27" s="22"/>
    </row>
    <row r="28" ht="20.05" customHeight="1">
      <c r="B28" s="30">
        <v>2021</v>
      </c>
      <c r="C28" s="17">
        <v>2150</v>
      </c>
      <c r="D28" s="22"/>
      <c r="E28" s="22"/>
    </row>
    <row r="29" ht="20.05" customHeight="1">
      <c r="B29" s="29"/>
      <c r="C29" s="17">
        <v>2320</v>
      </c>
      <c r="D29" s="22"/>
      <c r="E29" s="22"/>
    </row>
    <row r="30" ht="20.05" customHeight="1">
      <c r="B30" s="29"/>
      <c r="C30" s="17">
        <v>2260</v>
      </c>
      <c r="D30" s="22"/>
      <c r="E30" s="22"/>
    </row>
    <row r="31" ht="20.05" customHeight="1">
      <c r="B31" s="29"/>
      <c r="C31" s="17">
        <v>2700</v>
      </c>
      <c r="D31" s="22"/>
      <c r="E31" s="18">
        <v>5492.327513798130</v>
      </c>
    </row>
    <row r="32" ht="20.05" customHeight="1">
      <c r="B32" s="30">
        <v>2022</v>
      </c>
      <c r="C32" s="17">
        <v>2730</v>
      </c>
      <c r="D32" s="18">
        <f>C32</f>
        <v>2730</v>
      </c>
      <c r="E32" s="22"/>
    </row>
    <row r="33" ht="20.05" customHeight="1">
      <c r="B33" s="29"/>
      <c r="C33" s="17"/>
      <c r="D33" s="18">
        <f>'Model'!F43</f>
        <v>4317.904460533210</v>
      </c>
      <c r="E33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