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<sst xmlns="http://schemas.openxmlformats.org/spreadsheetml/2006/main" uniqueCount="61">
  <si>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</si>
  <si>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</si>
  <si>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</si>
  <si>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</si>
  <si>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</si>
  <si>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</si>
  <si>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</si>
  <si>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</si>
  <si>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</si>
  <si>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</si>
  <si>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</si>
  <si>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</si>
  <si>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</si>
  <si>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</si>
  <si>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</si>
  <si>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</si>
  <si>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</si>
  <si>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</si>
  <si>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</si>
  <si>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</si>
  <si>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</si>
  <si>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</si>
  <si>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 xml:space="preserve">Others </t>
  </si>
  <si>
    <t>Balance sheet</t>
  </si>
  <si>
    <t>Other assets</t>
  </si>
  <si>
    <t xml:space="preserve">Depreciation </t>
  </si>
  <si>
    <t>Net other assets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</si>
  <si>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</si>
  <si>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</si>
  <si>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</si>
  <si>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</si>
  <si>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</si>
  <si>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</si>
  <si>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</si>
  <si>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</si>
  <si>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</si>
  <si>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</si>
  <si>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</si>
  <si>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</si>
  <si>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</si>
  <si>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</si>
  <si>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</si>
  <si>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</si>
  <si>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</si>
  <si>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>Others</t>
  </si>
  <si>
    <t>Profit</t>
  </si>
  <si>
    <t xml:space="preserve">Sales growth </t>
  </si>
  <si>
    <t>Receipts</t>
  </si>
  <si>
    <t>Interest</t>
  </si>
  <si>
    <t>Liabilities</t>
  </si>
  <si>
    <t>Equity</t>
  </si>
  <si>
    <t xml:space="preserve">Free cashflow </t>
  </si>
  <si>
    <t>Cash</t>
  </si>
  <si>
    <t>Assets</t>
  </si>
  <si>
    <t>Lease</t>
  </si>
  <si>
    <t>Check</t>
  </si>
  <si>
    <t xml:space="preserve">Net cash </t>
  </si>
  <si>
    <t>Share price</t>
  </si>
  <si>
    <t>EMTK</t>
  </si>
  <si>
    <t>Target</t>
  </si>
  <si>
    <t>Previous 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</si>
</sst>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"/>
    <numFmt numFmtId="60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horizontal="left"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top" wrapText="1"/>
    </xf>
    <xf numFmtId="0" fontId="0" borderId="7" applyNumberFormat="0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523166</xdr:colOff>
      <xdr:row>1</xdr:row>
      <xdr:rowOff>206760</xdr:rowOff>
    </xdr:from>
    <xdr:to>
      <xdr:col>13</xdr:col>
      <xdr:colOff>1201794</xdr:colOff>
      <xdr:row>51</xdr:row>
      <xdr:rowOff>2059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71266" y="359160"/>
          <a:ext cx="9390829" cy="126267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5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8.54688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AVERAGE('Sales'!H24:H27)</f>
        <v>0.0203229249905496</v>
      </c>
      <c r="D4" s="8"/>
      <c r="E4" s="8"/>
      <c r="F4" s="9">
        <f>AVERAGE(C5:F5)</f>
        <v>0.04</v>
      </c>
    </row>
    <row r="5" ht="20.05" customHeight="1">
      <c r="B5" t="s" s="10">
        <v>4</v>
      </c>
      <c r="C5" s="11">
        <v>0.05</v>
      </c>
      <c r="D5" s="12">
        <v>0.07000000000000001</v>
      </c>
      <c r="E5" s="12">
        <v>0.05</v>
      </c>
      <c r="F5" s="12">
        <v>-0.01</v>
      </c>
    </row>
    <row r="6" ht="20.05" customHeight="1">
      <c r="B6" t="s" s="10">
        <v>5</v>
      </c>
      <c r="C6" s="13">
        <f>'Sales'!C27*(1+C5)</f>
        <v>3543.33</v>
      </c>
      <c r="D6" s="14">
        <f>C6*(1+D5)</f>
        <v>3791.3631</v>
      </c>
      <c r="E6" s="14">
        <f>D6*(1+E5)</f>
        <v>3980.931255</v>
      </c>
      <c r="F6" s="14">
        <f>E6*(1+F5)</f>
        <v>3941.12194245</v>
      </c>
    </row>
    <row r="7" ht="20.05" customHeight="1">
      <c r="B7" t="s" s="10">
        <v>6</v>
      </c>
      <c r="C7" s="11">
        <f>AVERAGE('Sales'!I27)</f>
        <v>-0.9128785633852901</v>
      </c>
      <c r="D7" s="12">
        <f>C7</f>
        <v>-0.9128785633852901</v>
      </c>
      <c r="E7" s="12">
        <f>D7</f>
        <v>-0.9128785633852901</v>
      </c>
      <c r="F7" s="12">
        <f>E7</f>
        <v>-0.9128785633852901</v>
      </c>
    </row>
    <row r="8" ht="20.05" customHeight="1">
      <c r="B8" t="s" s="10">
        <v>7</v>
      </c>
      <c r="C8" s="13">
        <f>C6*C7</f>
        <v>-3234.63</v>
      </c>
      <c r="D8" s="14">
        <f>D6*D7</f>
        <v>-3461.0541</v>
      </c>
      <c r="E8" s="14">
        <f>E6*E7</f>
        <v>-3634.106805</v>
      </c>
      <c r="F8" s="14">
        <f>F6*F7</f>
        <v>-3597.76573695</v>
      </c>
    </row>
    <row r="9" ht="20.05" customHeight="1">
      <c r="B9" t="s" s="10">
        <v>8</v>
      </c>
      <c r="C9" s="13">
        <f>C6+C8</f>
        <v>308.7</v>
      </c>
      <c r="D9" s="14">
        <f>D6+D8</f>
        <v>330.309</v>
      </c>
      <c r="E9" s="14">
        <f>E6+E8</f>
        <v>346.82445</v>
      </c>
      <c r="F9" s="14">
        <f>F6+F8</f>
        <v>343.3562055</v>
      </c>
    </row>
    <row r="10" ht="20.05" customHeight="1">
      <c r="B10" t="s" s="10">
        <v>9</v>
      </c>
      <c r="C10" s="13">
        <f>AVERAGE('Cashflow '!F28)</f>
        <v>-1708.6</v>
      </c>
      <c r="D10" s="14">
        <f>C10</f>
        <v>-1708.6</v>
      </c>
      <c r="E10" s="14">
        <f>D10</f>
        <v>-1708.6</v>
      </c>
      <c r="F10" s="14">
        <f>E10</f>
        <v>-1708.6</v>
      </c>
    </row>
    <row r="11" ht="20.05" customHeight="1">
      <c r="B11" t="s" s="10">
        <v>10</v>
      </c>
      <c r="C11" s="13">
        <f>'Cashflow '!G28</f>
        <v>-2.4</v>
      </c>
      <c r="D11" s="14">
        <f>C11</f>
        <v>-2.4</v>
      </c>
      <c r="E11" s="14">
        <f>D11</f>
        <v>-2.4</v>
      </c>
      <c r="F11" s="14">
        <f>E11</f>
        <v>-2.4</v>
      </c>
    </row>
    <row r="12" ht="20.05" customHeight="1">
      <c r="B12" t="s" s="10">
        <v>11</v>
      </c>
      <c r="C12" s="13">
        <f>C13+C16+C14</f>
        <v>1402.3</v>
      </c>
      <c r="D12" s="14">
        <f>D13+D16+D14</f>
        <v>1380.691</v>
      </c>
      <c r="E12" s="14">
        <f>E13+E16+E14</f>
        <v>1364.17555</v>
      </c>
      <c r="F12" s="14">
        <f>F13+F16+F14</f>
        <v>1367.6437945</v>
      </c>
    </row>
    <row r="13" ht="20.05" customHeight="1">
      <c r="B13" t="s" s="10">
        <v>12</v>
      </c>
      <c r="C13" s="13">
        <f>-'Balance sheet'!H28/20</f>
        <v>-211</v>
      </c>
      <c r="D13" s="14">
        <f>-C29/20</f>
        <v>-200.33</v>
      </c>
      <c r="E13" s="14">
        <f>-D29/20</f>
        <v>-190.1935</v>
      </c>
      <c r="F13" s="14">
        <f>-E29/20</f>
        <v>-180.563825</v>
      </c>
    </row>
    <row r="14" ht="20.05" customHeight="1">
      <c r="B14" t="s" s="10">
        <v>13</v>
      </c>
      <c r="C14" s="13">
        <f>-MIN(0,C17)</f>
        <v>1613.3</v>
      </c>
      <c r="D14" s="14">
        <f>-MIN(C30,D17)</f>
        <v>1581.021</v>
      </c>
      <c r="E14" s="14">
        <f>-MIN(D30,E17)</f>
        <v>1554.36905</v>
      </c>
      <c r="F14" s="14">
        <f>-MIN(E30,F17)</f>
        <v>1548.2076195</v>
      </c>
    </row>
    <row r="15" ht="20.05" customHeight="1">
      <c r="B15" t="s" s="10">
        <v>14</v>
      </c>
      <c r="C15" s="15">
        <v>0</v>
      </c>
      <c r="D15" s="14"/>
      <c r="E15" s="14"/>
      <c r="F15" s="14"/>
    </row>
    <row r="16" ht="20.05" customHeight="1">
      <c r="B16" t="s" s="10">
        <v>15</v>
      </c>
      <c r="C16" s="13">
        <f>IF(C24&gt;0,-C24*$C$15,0)</f>
        <v>0</v>
      </c>
      <c r="D16" s="14">
        <f>IF(D24&gt;0,-D24*$C$15,0)</f>
        <v>0</v>
      </c>
      <c r="E16" s="14">
        <f>IF(E24&gt;0,-E24*$C$15,0)</f>
        <v>0</v>
      </c>
      <c r="F16" s="14">
        <f>IF(F24&gt;0,-F24*$C$15,0)</f>
        <v>0</v>
      </c>
    </row>
    <row r="17" ht="20.05" customHeight="1">
      <c r="B17" t="s" s="10">
        <v>16</v>
      </c>
      <c r="C17" s="13">
        <f>C9+C10+C11+C13+C16</f>
        <v>-1613.3</v>
      </c>
      <c r="D17" s="14">
        <f>D9+D10+D11+D13+D16</f>
        <v>-1581.021</v>
      </c>
      <c r="E17" s="14">
        <f>E9+E10+E11+E13+E16</f>
        <v>-1554.36905</v>
      </c>
      <c r="F17" s="14">
        <f>F9+F10+F11+F13+F16</f>
        <v>-1548.2076195</v>
      </c>
    </row>
    <row r="18" ht="20.05" customHeight="1">
      <c r="B18" t="s" s="10">
        <v>17</v>
      </c>
      <c r="C18" s="13">
        <f>'Balance sheet'!C28</f>
        <v>6216.5</v>
      </c>
      <c r="D18" s="14">
        <f>C20</f>
        <v>6216.5</v>
      </c>
      <c r="E18" s="14">
        <f>D20</f>
        <v>6216.5</v>
      </c>
      <c r="F18" s="14">
        <f>E20</f>
        <v>6216.5</v>
      </c>
    </row>
    <row r="19" ht="20.05" customHeight="1">
      <c r="B19" t="s" s="10">
        <v>18</v>
      </c>
      <c r="C19" s="13">
        <f>C9+C10+C11+C12</f>
        <v>0</v>
      </c>
      <c r="D19" s="14">
        <f>D9+D10+D11+D12</f>
        <v>0</v>
      </c>
      <c r="E19" s="14">
        <f>E9+E10+E11+E12</f>
        <v>0</v>
      </c>
      <c r="F19" s="14">
        <f>F9+F10+F11+F12</f>
        <v>0</v>
      </c>
    </row>
    <row r="20" ht="20.05" customHeight="1">
      <c r="B20" t="s" s="10">
        <v>19</v>
      </c>
      <c r="C20" s="13">
        <f>C18+C19</f>
        <v>6216.5</v>
      </c>
      <c r="D20" s="14">
        <f>D18+D19</f>
        <v>6216.5</v>
      </c>
      <c r="E20" s="14">
        <f>E18+E19</f>
        <v>6216.5</v>
      </c>
      <c r="F20" s="14">
        <f>F18+F19</f>
        <v>6216.5</v>
      </c>
    </row>
    <row r="21" ht="20.05" customHeight="1">
      <c r="B21" t="s" s="16">
        <v>20</v>
      </c>
      <c r="C21" s="13"/>
      <c r="D21" s="14"/>
      <c r="E21" s="14"/>
      <c r="F21" s="17"/>
    </row>
    <row r="22" ht="20.05" customHeight="1">
      <c r="B22" t="s" s="10">
        <v>21</v>
      </c>
      <c r="C22" s="13">
        <f>-AVERAGE('Sales'!E27)</f>
        <v>-123.9</v>
      </c>
      <c r="D22" s="14">
        <f>C22</f>
        <v>-123.9</v>
      </c>
      <c r="E22" s="14">
        <f>D22</f>
        <v>-123.9</v>
      </c>
      <c r="F22" s="14">
        <f>E22</f>
        <v>-123.9</v>
      </c>
    </row>
    <row r="23" ht="20.05" customHeight="1">
      <c r="B23" t="s" s="10">
        <v>22</v>
      </c>
      <c r="C23" s="13">
        <f>AVERAGE('Sales'!F27)</f>
        <v>3962</v>
      </c>
      <c r="D23" s="14">
        <f>C23</f>
        <v>3962</v>
      </c>
      <c r="E23" s="14">
        <f>D23</f>
        <v>3962</v>
      </c>
      <c r="F23" s="14">
        <f>E23</f>
        <v>3962</v>
      </c>
    </row>
    <row r="24" ht="20.05" customHeight="1">
      <c r="B24" t="s" s="10">
        <v>20</v>
      </c>
      <c r="C24" s="13">
        <f>C6+C8+C23+C22</f>
        <v>4146.8</v>
      </c>
      <c r="D24" s="14">
        <f>D6+D8+D23+D22</f>
        <v>4168.409</v>
      </c>
      <c r="E24" s="14">
        <f>E6+E8+E23+E22</f>
        <v>4184.92445</v>
      </c>
      <c r="F24" s="14">
        <f>F6+F8+F23+F22</f>
        <v>4181.4562055</v>
      </c>
    </row>
    <row r="25" ht="20.05" customHeight="1">
      <c r="B25" t="s" s="16">
        <v>23</v>
      </c>
      <c r="C25" s="13"/>
      <c r="D25" s="14"/>
      <c r="E25" s="14"/>
      <c r="F25" s="14"/>
    </row>
    <row r="26" ht="20.05" customHeight="1">
      <c r="B26" t="s" s="10">
        <v>24</v>
      </c>
      <c r="C26" s="13">
        <f>'Balance sheet'!E28+'Balance sheet'!F28+C23-C10</f>
        <v>47358.1</v>
      </c>
      <c r="D26" s="14">
        <f>C26+D23-D10</f>
        <v>53028.7</v>
      </c>
      <c r="E26" s="14">
        <f>D26+E23-E10</f>
        <v>58699.3</v>
      </c>
      <c r="F26" s="14">
        <f>E26+F23-F10</f>
        <v>64369.9</v>
      </c>
    </row>
    <row r="27" ht="20.05" customHeight="1">
      <c r="B27" t="s" s="10">
        <v>25</v>
      </c>
      <c r="C27" s="13">
        <f>'Balance sheet'!F28-C22</f>
        <v>5149.9</v>
      </c>
      <c r="D27" s="14">
        <f>C27-D22</f>
        <v>5273.8</v>
      </c>
      <c r="E27" s="14">
        <f>D27-E22</f>
        <v>5397.7</v>
      </c>
      <c r="F27" s="14">
        <f>E27-F22</f>
        <v>5521.6</v>
      </c>
    </row>
    <row r="28" ht="20.05" customHeight="1">
      <c r="B28" t="s" s="10">
        <v>26</v>
      </c>
      <c r="C28" s="13">
        <f>C26-C27</f>
        <v>42208.2</v>
      </c>
      <c r="D28" s="14">
        <f>D26-D27</f>
        <v>47754.9</v>
      </c>
      <c r="E28" s="14">
        <f>E26-E27</f>
        <v>53301.6</v>
      </c>
      <c r="F28" s="14">
        <f>F26-F27</f>
        <v>58848.3</v>
      </c>
    </row>
    <row r="29" ht="20.05" customHeight="1">
      <c r="B29" t="s" s="10">
        <v>12</v>
      </c>
      <c r="C29" s="13">
        <f>'Balance sheet'!H28+C11+C13</f>
        <v>4006.6</v>
      </c>
      <c r="D29" s="14">
        <f>C29+D13+D11</f>
        <v>3803.87</v>
      </c>
      <c r="E29" s="14">
        <f>D29+E13+E11</f>
        <v>3611.2765</v>
      </c>
      <c r="F29" s="14">
        <f>E29+F13+F11</f>
        <v>3428.312675</v>
      </c>
    </row>
    <row r="30" ht="20.05" customHeight="1">
      <c r="B30" t="s" s="10">
        <v>13</v>
      </c>
      <c r="C30" s="13">
        <f>C14</f>
        <v>1613.3</v>
      </c>
      <c r="D30" s="14">
        <f>C30+D14</f>
        <v>3194.321</v>
      </c>
      <c r="E30" s="14">
        <f>D30+E14</f>
        <v>4748.69005</v>
      </c>
      <c r="F30" s="14">
        <f>E30+F14</f>
        <v>6296.8976695</v>
      </c>
    </row>
    <row r="31" ht="20.05" customHeight="1">
      <c r="B31" t="s" s="10">
        <v>15</v>
      </c>
      <c r="C31" s="13">
        <f>'Balance sheet'!I28+C24+C16</f>
        <v>42804.8</v>
      </c>
      <c r="D31" s="14">
        <f>C31+D24+D16</f>
        <v>46973.209</v>
      </c>
      <c r="E31" s="14">
        <f>D31+E24+E16</f>
        <v>51158.13345</v>
      </c>
      <c r="F31" s="14">
        <f>E31+F24+F16</f>
        <v>55339.5896555</v>
      </c>
    </row>
    <row r="32" ht="20.05" customHeight="1">
      <c r="B32" t="s" s="10">
        <v>27</v>
      </c>
      <c r="C32" s="13">
        <f>C29+C30+C31-C20-C28</f>
        <v>0</v>
      </c>
      <c r="D32" s="14">
        <f>D29+D30+D31-D20-D28</f>
        <v>0</v>
      </c>
      <c r="E32" s="14">
        <f>E29+E30+E31-E20-E28</f>
        <v>0</v>
      </c>
      <c r="F32" s="14">
        <f>F29+F30+F31-F20-F28</f>
        <v>0</v>
      </c>
    </row>
    <row r="33" ht="20.05" customHeight="1">
      <c r="B33" t="s" s="10">
        <v>28</v>
      </c>
      <c r="C33" s="13">
        <f>C20-C29-C30</f>
        <v>596.6</v>
      </c>
      <c r="D33" s="14">
        <f>D20-D29-D30</f>
        <v>-781.691</v>
      </c>
      <c r="E33" s="14">
        <f>E20-E29-E30</f>
        <v>-2143.46655</v>
      </c>
      <c r="F33" s="14">
        <f>F20-F29-F30</f>
        <v>-3508.7103445</v>
      </c>
    </row>
    <row r="34" ht="20.05" customHeight="1">
      <c r="B34" t="s" s="16">
        <v>29</v>
      </c>
      <c r="C34" s="13"/>
      <c r="D34" s="14"/>
      <c r="E34" s="14"/>
      <c r="F34" s="14"/>
    </row>
    <row r="35" ht="20.05" customHeight="1">
      <c r="B35" t="s" s="10">
        <v>30</v>
      </c>
      <c r="C35" s="13">
        <f>'Cashflow '!N28-C12</f>
        <v>-15433.2</v>
      </c>
      <c r="D35" s="14">
        <f>C35-D12</f>
        <v>-16813.891</v>
      </c>
      <c r="E35" s="14">
        <f>D35-E12</f>
        <v>-18178.06655</v>
      </c>
      <c r="F35" s="14">
        <f>E35-F12</f>
        <v>-19545.7103445</v>
      </c>
    </row>
    <row r="36" ht="20.05" customHeight="1">
      <c r="B36" t="s" s="10">
        <v>31</v>
      </c>
      <c r="C36" s="13"/>
      <c r="D36" s="14"/>
      <c r="E36" s="14"/>
      <c r="F36" s="14">
        <v>120843198464000</v>
      </c>
    </row>
    <row r="37" ht="20.05" customHeight="1">
      <c r="B37" t="s" s="10">
        <v>31</v>
      </c>
      <c r="C37" s="13"/>
      <c r="D37" s="14"/>
      <c r="E37" s="14"/>
      <c r="F37" s="14">
        <f>F36/1000000000</f>
        <v>120843.198464</v>
      </c>
    </row>
    <row r="38" ht="20.05" customHeight="1">
      <c r="B38" t="s" s="10">
        <v>32</v>
      </c>
      <c r="C38" s="13"/>
      <c r="D38" s="14"/>
      <c r="E38" s="14"/>
      <c r="F38" s="18">
        <f>F37/(F20+F28)</f>
        <v>1.85727457033603</v>
      </c>
    </row>
    <row r="39" ht="20.05" customHeight="1">
      <c r="B39" t="s" s="10">
        <v>33</v>
      </c>
      <c r="C39" s="13"/>
      <c r="D39" s="14"/>
      <c r="E39" s="14"/>
      <c r="F39" s="19">
        <f>-(C16+D16+E16+F16)/F37</f>
        <v>0</v>
      </c>
    </row>
    <row r="40" ht="20.05" customHeight="1">
      <c r="B40" t="s" s="10">
        <v>34</v>
      </c>
      <c r="C40" s="13"/>
      <c r="D40" s="14"/>
      <c r="E40" s="14"/>
      <c r="F40" s="14">
        <f>SUM(C9:F9)</f>
        <v>1329.1896555</v>
      </c>
    </row>
    <row r="41" ht="20.05" customHeight="1">
      <c r="B41" t="s" s="10">
        <v>35</v>
      </c>
      <c r="C41" s="13"/>
      <c r="D41" s="14"/>
      <c r="E41" s="14"/>
      <c r="F41" s="14">
        <f>'Balance sheet'!E28/F40</f>
        <v>27.5818427026571</v>
      </c>
    </row>
    <row r="42" ht="20.05" customHeight="1">
      <c r="B42" t="s" s="10">
        <v>29</v>
      </c>
      <c r="C42" s="13"/>
      <c r="D42" s="14"/>
      <c r="E42" s="14"/>
      <c r="F42" s="14">
        <f>F37/F40</f>
        <v>90.91494051580059</v>
      </c>
    </row>
    <row r="43" ht="20.05" customHeight="1">
      <c r="B43" t="s" s="10">
        <v>36</v>
      </c>
      <c r="C43" s="13"/>
      <c r="D43" s="14"/>
      <c r="E43" s="14"/>
      <c r="F43" s="14">
        <v>40</v>
      </c>
    </row>
    <row r="44" ht="20.05" customHeight="1">
      <c r="B44" t="s" s="10">
        <v>37</v>
      </c>
      <c r="C44" s="13"/>
      <c r="D44" s="14"/>
      <c r="E44" s="14"/>
      <c r="F44" s="14">
        <f>F40*F43</f>
        <v>53167.58622</v>
      </c>
    </row>
    <row r="45" ht="20.05" customHeight="1">
      <c r="B45" t="s" s="10">
        <v>38</v>
      </c>
      <c r="C45" s="13"/>
      <c r="D45" s="14"/>
      <c r="E45" s="14"/>
      <c r="F45" s="14">
        <f>F37/F47</f>
        <v>60.421599232</v>
      </c>
    </row>
    <row r="46" ht="20.05" customHeight="1">
      <c r="B46" t="s" s="10">
        <v>39</v>
      </c>
      <c r="C46" s="13"/>
      <c r="D46" s="14"/>
      <c r="E46" s="14"/>
      <c r="F46" s="14">
        <f>F44/F45</f>
        <v>879.9433794503381</v>
      </c>
    </row>
    <row r="47" ht="20.05" customHeight="1">
      <c r="B47" t="s" s="10">
        <v>40</v>
      </c>
      <c r="C47" s="13"/>
      <c r="D47" s="14"/>
      <c r="E47" s="14"/>
      <c r="F47" s="14">
        <v>2000</v>
      </c>
    </row>
    <row r="48" ht="20.05" customHeight="1">
      <c r="B48" t="s" s="10">
        <v>41</v>
      </c>
      <c r="C48" s="13"/>
      <c r="D48" s="14"/>
      <c r="E48" s="14"/>
      <c r="F48" s="19">
        <f>F46/F47-1</f>
        <v>-0.560028310274831</v>
      </c>
    </row>
    <row r="49" ht="20.05" customHeight="1">
      <c r="B49" t="s" s="10">
        <v>42</v>
      </c>
      <c r="C49" s="13"/>
      <c r="D49" s="14"/>
      <c r="E49" s="14"/>
      <c r="F49" s="19">
        <f>'Sales'!C27/'Sales'!C23-1</f>
        <v>0.0796992481203008</v>
      </c>
    </row>
    <row r="50" ht="20.05" customHeight="1">
      <c r="B50" t="s" s="10">
        <v>43</v>
      </c>
      <c r="C50" s="13"/>
      <c r="D50" s="14"/>
      <c r="E50" s="14"/>
      <c r="F50" s="19">
        <f>'Sales'!F30/'Sales'!E30-1</f>
        <v>0.0329461320620174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0" customWidth="1"/>
    <col min="2" max="11" width="10.9688" style="20" customWidth="1"/>
    <col min="12" max="16384" width="16.3516" style="20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21">
        <v>1</v>
      </c>
      <c r="C2" t="s" s="21">
        <v>5</v>
      </c>
      <c r="D2" t="s" s="21">
        <v>36</v>
      </c>
      <c r="E2" t="s" s="21">
        <v>25</v>
      </c>
      <c r="F2" t="s" s="21">
        <v>44</v>
      </c>
      <c r="G2" t="s" s="21">
        <v>45</v>
      </c>
      <c r="H2" t="s" s="21">
        <v>46</v>
      </c>
      <c r="I2" t="s" s="21">
        <v>6</v>
      </c>
      <c r="J2" t="s" s="21">
        <v>6</v>
      </c>
      <c r="K2" t="s" s="21">
        <v>36</v>
      </c>
    </row>
    <row r="3" ht="20.25" customHeight="1">
      <c r="B3" s="22">
        <v>2016</v>
      </c>
      <c r="C3" s="23">
        <v>1575.5</v>
      </c>
      <c r="D3" s="24"/>
      <c r="E3" s="24">
        <v>106.3</v>
      </c>
      <c r="F3" s="24"/>
      <c r="G3" s="24">
        <v>59.8</v>
      </c>
      <c r="H3" s="9"/>
      <c r="I3" s="9">
        <f>(G3+E3-F3-C3)/C3</f>
        <v>-0.894573151380514</v>
      </c>
      <c r="J3" s="9"/>
      <c r="K3" s="9"/>
    </row>
    <row r="4" ht="20.05" customHeight="1">
      <c r="B4" s="25"/>
      <c r="C4" s="13">
        <v>1921.9</v>
      </c>
      <c r="D4" s="14"/>
      <c r="E4" s="14">
        <v>104.4</v>
      </c>
      <c r="F4" s="14"/>
      <c r="G4" s="14">
        <v>283.8</v>
      </c>
      <c r="H4" s="12">
        <f>C4/C3-1</f>
        <v>0.219866708981276</v>
      </c>
      <c r="I4" s="12">
        <f>(G4+E4-F4-C4)/C4</f>
        <v>-0.79801238357875</v>
      </c>
      <c r="J4" s="12"/>
      <c r="K4" s="12"/>
    </row>
    <row r="5" ht="20.05" customHeight="1">
      <c r="B5" s="25"/>
      <c r="C5" s="13">
        <v>1857.1</v>
      </c>
      <c r="D5" s="14"/>
      <c r="E5" s="14">
        <v>106.3</v>
      </c>
      <c r="F5" s="14"/>
      <c r="G5" s="14">
        <v>387.5</v>
      </c>
      <c r="H5" s="12">
        <f>C5/C4-1</f>
        <v>-0.0337166345803632</v>
      </c>
      <c r="I5" s="12">
        <f>(G5+E5-F5-C5)/C5</f>
        <v>-0.734101556189758</v>
      </c>
      <c r="J5" s="12"/>
      <c r="K5" s="12"/>
    </row>
    <row r="6" ht="20.05" customHeight="1">
      <c r="B6" s="25"/>
      <c r="C6" s="13">
        <v>2014.3</v>
      </c>
      <c r="D6" s="14"/>
      <c r="E6" s="14">
        <v>136.5</v>
      </c>
      <c r="F6" s="14"/>
      <c r="G6" s="14">
        <v>131</v>
      </c>
      <c r="H6" s="12">
        <f>C6/C5-1</f>
        <v>0.0846481072640138</v>
      </c>
      <c r="I6" s="12">
        <f>(G6+E6-F6-C6)/C6</f>
        <v>-0.867199523407635</v>
      </c>
      <c r="J6" s="12"/>
      <c r="K6" s="12"/>
    </row>
    <row r="7" ht="20.05" customHeight="1">
      <c r="B7" s="26">
        <v>2017</v>
      </c>
      <c r="C7" s="13">
        <v>1923.6</v>
      </c>
      <c r="D7" s="14"/>
      <c r="E7" s="14">
        <v>127.8</v>
      </c>
      <c r="F7" s="14">
        <v>-55</v>
      </c>
      <c r="G7" s="14">
        <v>126.7</v>
      </c>
      <c r="H7" s="12">
        <f>C7/C6-1</f>
        <v>-0.0450280494464578</v>
      </c>
      <c r="I7" s="12">
        <f>(G7+E7-F7-C7)/C7</f>
        <v>-0.839103763776253</v>
      </c>
      <c r="J7" s="12">
        <f>AVERAGE(I4:I7)</f>
        <v>-0.809604306738099</v>
      </c>
      <c r="K7" s="12"/>
    </row>
    <row r="8" ht="20.05" customHeight="1">
      <c r="B8" s="25"/>
      <c r="C8" s="13">
        <v>2325.2</v>
      </c>
      <c r="D8" s="14"/>
      <c r="E8" s="14">
        <v>225.6</v>
      </c>
      <c r="F8" s="14">
        <v>-22</v>
      </c>
      <c r="G8" s="14">
        <v>376.8</v>
      </c>
      <c r="H8" s="12">
        <f>C8/C7-1</f>
        <v>0.208775213142025</v>
      </c>
      <c r="I8" s="12">
        <f>(G8+E8-F8-C8)/C8</f>
        <v>-0.731463960089455</v>
      </c>
      <c r="J8" s="12">
        <f>AVERAGE(I5:I8)</f>
        <v>-0.792967200865775</v>
      </c>
      <c r="K8" s="12"/>
    </row>
    <row r="9" ht="20.05" customHeight="1">
      <c r="B9" s="25"/>
      <c r="C9" s="13">
        <v>1858.1</v>
      </c>
      <c r="D9" s="14"/>
      <c r="E9" s="14">
        <v>146.9</v>
      </c>
      <c r="F9" s="14">
        <v>216</v>
      </c>
      <c r="G9" s="14">
        <v>-39.5</v>
      </c>
      <c r="H9" s="12">
        <f>C9/C8-1</f>
        <v>-0.200885945295028</v>
      </c>
      <c r="I9" s="12">
        <f>(G9+E9-F9-C9)/C9</f>
        <v>-1.05844680049513</v>
      </c>
      <c r="J9" s="12">
        <f>AVERAGE(I6:I9)</f>
        <v>-0.874053511942118</v>
      </c>
      <c r="K9" s="12"/>
    </row>
    <row r="10" ht="20.05" customHeight="1">
      <c r="B10" s="25"/>
      <c r="C10" s="13">
        <v>1486.1</v>
      </c>
      <c r="D10" s="14"/>
      <c r="E10" s="14">
        <v>137.7</v>
      </c>
      <c r="F10" s="14">
        <v>132</v>
      </c>
      <c r="G10" s="14">
        <v>-16.1</v>
      </c>
      <c r="H10" s="12">
        <f>C10/C9-1</f>
        <v>-0.200204509983316</v>
      </c>
      <c r="I10" s="12">
        <f>(G10+E10-F10-C10)/C10</f>
        <v>-1.00699818316399</v>
      </c>
      <c r="J10" s="12">
        <f>AVERAGE(I7:I10)</f>
        <v>-0.909003176881207</v>
      </c>
      <c r="K10" s="12"/>
    </row>
    <row r="11" ht="20.05" customHeight="1">
      <c r="B11" s="26">
        <v>2018</v>
      </c>
      <c r="C11" s="13">
        <v>1879</v>
      </c>
      <c r="D11" s="14"/>
      <c r="E11" s="14">
        <v>140.8</v>
      </c>
      <c r="F11" s="14">
        <v>-41</v>
      </c>
      <c r="G11" s="14">
        <v>-86.5</v>
      </c>
      <c r="H11" s="12">
        <f>C11/C10-1</f>
        <v>0.264383285108674</v>
      </c>
      <c r="I11" s="12">
        <f>(G11+E11-F11-C11)/C11</f>
        <v>-0.949281532730176</v>
      </c>
      <c r="J11" s="12">
        <f>AVERAGE(I8:I11)</f>
        <v>-0.936547619119688</v>
      </c>
      <c r="K11" s="12"/>
    </row>
    <row r="12" ht="20.05" customHeight="1">
      <c r="B12" s="25"/>
      <c r="C12" s="13">
        <v>2230.6</v>
      </c>
      <c r="D12" s="14"/>
      <c r="E12" s="14">
        <v>145.1</v>
      </c>
      <c r="F12" s="14">
        <v>18</v>
      </c>
      <c r="G12" s="14">
        <v>-4.2</v>
      </c>
      <c r="H12" s="12">
        <f>C12/C11-1</f>
        <v>0.187120808940926</v>
      </c>
      <c r="I12" s="12">
        <f>(G12+E12-F12-C12)/C12</f>
        <v>-0.944902716757823</v>
      </c>
      <c r="J12" s="12">
        <f>AVERAGE(I9:I12)</f>
        <v>-0.98990730828678</v>
      </c>
      <c r="K12" s="12"/>
    </row>
    <row r="13" ht="20.05" customHeight="1">
      <c r="B13" s="25"/>
      <c r="C13" s="13">
        <v>2445.5</v>
      </c>
      <c r="D13" s="14"/>
      <c r="E13" s="14">
        <v>143.8</v>
      </c>
      <c r="F13" s="14">
        <v>-10</v>
      </c>
      <c r="G13" s="14">
        <v>-126.9</v>
      </c>
      <c r="H13" s="12">
        <f>C13/C12-1</f>
        <v>0.0963417914462476</v>
      </c>
      <c r="I13" s="12">
        <f>(G13+E13-F13-C13)/C13</f>
        <v>-0.989000204457166</v>
      </c>
      <c r="J13" s="12">
        <f>AVERAGE(I10:I13)</f>
        <v>-0.972545659277289</v>
      </c>
      <c r="K13" s="12"/>
    </row>
    <row r="14" ht="20.05" customHeight="1">
      <c r="B14" s="25"/>
      <c r="C14" s="13">
        <v>2404.6</v>
      </c>
      <c r="D14" s="14"/>
      <c r="E14" s="14">
        <v>193.5</v>
      </c>
      <c r="F14" s="14">
        <v>-2070</v>
      </c>
      <c r="G14" s="14">
        <v>-2087.9</v>
      </c>
      <c r="H14" s="12">
        <f>C14/C13-1</f>
        <v>-0.0167245961970967</v>
      </c>
      <c r="I14" s="12">
        <f>(G14+E14-F14-C14)/C14</f>
        <v>-0.926973301172752</v>
      </c>
      <c r="J14" s="12">
        <f>AVERAGE(I11:I14)</f>
        <v>-0.952539438779479</v>
      </c>
      <c r="K14" s="12"/>
    </row>
    <row r="15" ht="20.05" customHeight="1">
      <c r="B15" s="26">
        <v>2019</v>
      </c>
      <c r="C15" s="13">
        <v>2644.4</v>
      </c>
      <c r="D15" s="14"/>
      <c r="E15" s="14">
        <v>149.8</v>
      </c>
      <c r="F15" s="14">
        <v>-77</v>
      </c>
      <c r="G15" s="14">
        <v>-104.9</v>
      </c>
      <c r="H15" s="12">
        <f>C15/C14-1</f>
        <v>0.0997255260750229</v>
      </c>
      <c r="I15" s="12">
        <f>(G15+E15-F15-C15)/C15</f>
        <v>-0.953902586598094</v>
      </c>
      <c r="J15" s="12">
        <f>AVERAGE(I12:I15)</f>
        <v>-0.953694702246459</v>
      </c>
      <c r="K15" s="12"/>
    </row>
    <row r="16" ht="20.05" customHeight="1">
      <c r="B16" s="25"/>
      <c r="C16" s="13">
        <v>2758</v>
      </c>
      <c r="D16" s="14"/>
      <c r="E16" s="14">
        <v>135.6</v>
      </c>
      <c r="F16" s="14">
        <v>-421</v>
      </c>
      <c r="G16" s="14">
        <v>-1039.1</v>
      </c>
      <c r="H16" s="12">
        <f>C16/C15-1</f>
        <v>0.0429587051883225</v>
      </c>
      <c r="I16" s="12">
        <f>(G16+E16-F16-C16)/C16</f>
        <v>-1.17494561276287</v>
      </c>
      <c r="J16" s="12">
        <f>AVERAGE(I13:I16)</f>
        <v>-1.01120542624772</v>
      </c>
      <c r="K16" s="12"/>
    </row>
    <row r="17" ht="20.05" customHeight="1">
      <c r="B17" s="25"/>
      <c r="C17" s="13">
        <v>2713.6</v>
      </c>
      <c r="D17" s="14"/>
      <c r="E17" s="14">
        <v>107.1</v>
      </c>
      <c r="F17" s="14">
        <v>210</v>
      </c>
      <c r="G17" s="14">
        <v>-255.7</v>
      </c>
      <c r="H17" s="12">
        <f>C17/C16-1</f>
        <v>-0.0160986221899927</v>
      </c>
      <c r="I17" s="12">
        <f>(G17+E17-F17-C17)/C17</f>
        <v>-1.1321491745283</v>
      </c>
      <c r="J17" s="12">
        <f>AVERAGE(I14:I17)</f>
        <v>-1.0469926687655</v>
      </c>
      <c r="K17" s="12"/>
    </row>
    <row r="18" ht="20.05" customHeight="1">
      <c r="B18" s="25"/>
      <c r="C18" s="13">
        <v>2984.1</v>
      </c>
      <c r="D18" s="14"/>
      <c r="E18" s="14">
        <v>156.2</v>
      </c>
      <c r="F18" s="14">
        <v>-164</v>
      </c>
      <c r="G18" s="14">
        <v>-943.4</v>
      </c>
      <c r="H18" s="12">
        <f>C18/C17-1</f>
        <v>0.0996830778301887</v>
      </c>
      <c r="I18" s="12">
        <f>(G18+E18-F18-C18)/C18</f>
        <v>-1.20884018632083</v>
      </c>
      <c r="J18" s="12">
        <f>AVERAGE(I15:I18)</f>
        <v>-1.11745939005252</v>
      </c>
      <c r="K18" s="12"/>
    </row>
    <row r="19" ht="20.05" customHeight="1">
      <c r="B19" s="26">
        <v>2020</v>
      </c>
      <c r="C19" s="13">
        <v>2645.5</v>
      </c>
      <c r="D19" s="14"/>
      <c r="E19" s="14">
        <v>112.2</v>
      </c>
      <c r="F19" s="14">
        <v>614.75</v>
      </c>
      <c r="G19" s="14">
        <v>-377</v>
      </c>
      <c r="H19" s="12">
        <f>C19/C18-1</f>
        <v>-0.113468047317449</v>
      </c>
      <c r="I19" s="12">
        <f>(G19+E19-F19-C19)/C19</f>
        <v>-1.33247023247023</v>
      </c>
      <c r="J19" s="12">
        <f>AVERAGE(I16:I19)</f>
        <v>-1.21210130152056</v>
      </c>
      <c r="K19" s="12"/>
    </row>
    <row r="20" ht="20.05" customHeight="1">
      <c r="B20" s="25"/>
      <c r="C20" s="13">
        <v>2702.5</v>
      </c>
      <c r="D20" s="14"/>
      <c r="E20" s="14">
        <v>116.5</v>
      </c>
      <c r="F20" s="14">
        <v>614.75</v>
      </c>
      <c r="G20" s="14">
        <v>-17.5</v>
      </c>
      <c r="H20" s="12">
        <f>C20/C19-1</f>
        <v>0.0215460215460215</v>
      </c>
      <c r="I20" s="12">
        <f>(G20+E20-F20-C20)/C20</f>
        <v>-1.19084181313599</v>
      </c>
      <c r="J20" s="12">
        <f>AVERAGE(I17:I20)</f>
        <v>-1.21607535161384</v>
      </c>
      <c r="K20" s="12"/>
    </row>
    <row r="21" ht="20.05" customHeight="1">
      <c r="B21" s="25"/>
      <c r="C21" s="13">
        <v>3170.5</v>
      </c>
      <c r="D21" s="14"/>
      <c r="E21" s="14">
        <v>114.8</v>
      </c>
      <c r="F21" s="14">
        <v>614.75</v>
      </c>
      <c r="G21" s="14">
        <v>571.4</v>
      </c>
      <c r="H21" s="12">
        <f>C21/C20-1</f>
        <v>0.173172987974098</v>
      </c>
      <c r="I21" s="12">
        <f>(G21+E21-F21-C21)/C21</f>
        <v>-0.977464122378174</v>
      </c>
      <c r="J21" s="12">
        <f>AVERAGE(I18:I21)</f>
        <v>-1.17740408857631</v>
      </c>
      <c r="K21" s="12"/>
    </row>
    <row r="22" ht="20.05" customHeight="1">
      <c r="B22" s="25"/>
      <c r="C22" s="13">
        <f>11936.4-SUM(C19:C21)</f>
        <v>3417.9</v>
      </c>
      <c r="D22" s="14">
        <v>3329.025</v>
      </c>
      <c r="E22" s="14">
        <v>178.7</v>
      </c>
      <c r="F22" s="14">
        <v>614.75</v>
      </c>
      <c r="G22" s="14">
        <v>1540.5</v>
      </c>
      <c r="H22" s="12">
        <f>C22/C21-1</f>
        <v>0.078031856174105</v>
      </c>
      <c r="I22" s="12">
        <f>(G22+E22-F22-C22)/C22</f>
        <v>-0.676862986044062</v>
      </c>
      <c r="J22" s="12">
        <f>AVERAGE(I19:I22)</f>
        <v>-1.04440978850711</v>
      </c>
      <c r="K22" s="12"/>
    </row>
    <row r="23" ht="20.05" customHeight="1">
      <c r="B23" s="26">
        <v>2021</v>
      </c>
      <c r="C23" s="13">
        <v>3125.5</v>
      </c>
      <c r="D23" s="14">
        <v>3383.721</v>
      </c>
      <c r="E23" s="14">
        <f>88.3+3.4+22.5</f>
        <v>114.2</v>
      </c>
      <c r="F23" s="14">
        <v>1544.25</v>
      </c>
      <c r="G23" s="14">
        <v>218</v>
      </c>
      <c r="H23" s="12">
        <f>C23/C22-1</f>
        <v>-0.0855496064835133</v>
      </c>
      <c r="I23" s="12">
        <f>(G23+E23-F23-C23)/C23</f>
        <v>-1.38779395296753</v>
      </c>
      <c r="J23" s="12">
        <f>AVERAGE(I20:I23)</f>
        <v>-1.05824071863144</v>
      </c>
      <c r="K23" s="12"/>
    </row>
    <row r="24" ht="20.05" customHeight="1">
      <c r="B24" s="25"/>
      <c r="C24" s="13">
        <f>6449.1-C23</f>
        <v>3323.6</v>
      </c>
      <c r="D24" s="14">
        <v>3250.52</v>
      </c>
      <c r="E24" s="14">
        <f>182.7+6.4+45-E23</f>
        <v>119.9</v>
      </c>
      <c r="F24" s="14">
        <v>1544.25</v>
      </c>
      <c r="G24" s="14">
        <f>493.9-G23</f>
        <v>275.9</v>
      </c>
      <c r="H24" s="12">
        <f>C24/C23-1</f>
        <v>0.0633818589025756</v>
      </c>
      <c r="I24" s="12">
        <f>(G24+E24-F24-C24)/C24</f>
        <v>-1.34554398844626</v>
      </c>
      <c r="J24" s="12">
        <f>AVERAGE(I21:I24)</f>
        <v>-1.09691626245901</v>
      </c>
      <c r="K24" s="12"/>
    </row>
    <row r="25" ht="20.05" customHeight="1">
      <c r="B25" s="25"/>
      <c r="C25" s="13">
        <f>9597.6-SUM(C23:C24)</f>
        <v>3148.5</v>
      </c>
      <c r="D25" s="14">
        <v>3390.072</v>
      </c>
      <c r="E25" s="14">
        <f>277.7+10.1-SUM(E23:E24)</f>
        <v>53.7</v>
      </c>
      <c r="F25" s="14">
        <v>1544.25</v>
      </c>
      <c r="G25" s="14">
        <f>550-SUM(G23:G24)</f>
        <v>56.1</v>
      </c>
      <c r="H25" s="12">
        <f>C25/C24-1</f>
        <v>-0.0526838368034661</v>
      </c>
      <c r="I25" s="12">
        <f>(G25+E25-F25-C25)/C25</f>
        <v>-1.4555979037637</v>
      </c>
      <c r="J25" s="12">
        <f>AVERAGE(I22:I25)</f>
        <v>-1.21644970780539</v>
      </c>
      <c r="K25" s="12"/>
    </row>
    <row r="26" ht="20.05" customHeight="1">
      <c r="B26" s="25"/>
      <c r="C26" s="13">
        <f>12840.7-SUM(C23:C25)</f>
        <v>3243.1</v>
      </c>
      <c r="D26" s="14">
        <v>3463.35</v>
      </c>
      <c r="E26" s="14">
        <f>467+13.8-SUM(E23:E25)</f>
        <v>193</v>
      </c>
      <c r="F26" s="14">
        <v>1544.25</v>
      </c>
      <c r="G26" s="14">
        <f>6019.8-SUM(G23:G25)</f>
        <v>5469.8</v>
      </c>
      <c r="H26" s="12">
        <f>C26/C25-1</f>
        <v>0.0300460536763538</v>
      </c>
      <c r="I26" s="12">
        <f>(G26+E26-F26-C26)/C26</f>
        <v>0.269942339119978</v>
      </c>
      <c r="J26" s="12">
        <f>AVERAGE(I23:I26)</f>
        <v>-0.979748376514378</v>
      </c>
      <c r="K26" s="12"/>
    </row>
    <row r="27" ht="20.05" customHeight="1">
      <c r="B27" s="26">
        <v>2021</v>
      </c>
      <c r="C27" s="13">
        <v>3374.6</v>
      </c>
      <c r="D27" s="14">
        <v>3463.35</v>
      </c>
      <c r="E27" s="14">
        <f>120.2+3.7</f>
        <v>123.9</v>
      </c>
      <c r="F27" s="14">
        <f>3481+481</f>
        <v>3962</v>
      </c>
      <c r="G27" s="14">
        <v>4132.1</v>
      </c>
      <c r="H27" s="12">
        <f>C27/C26-1</f>
        <v>0.0405476241867349</v>
      </c>
      <c r="I27" s="12">
        <f>(G27+E27-F27-C27)/C27</f>
        <v>-0.9128785633852901</v>
      </c>
      <c r="J27" s="12">
        <f>AVERAGE(I24:I27)</f>
        <v>-0.861019529118818</v>
      </c>
      <c r="K27" s="12">
        <v>-0.819501349849135</v>
      </c>
    </row>
    <row r="28" ht="20.05" customHeight="1">
      <c r="B28" s="25"/>
      <c r="C28" s="13"/>
      <c r="D28" s="14">
        <f>'Model'!C6</f>
        <v>3543.33</v>
      </c>
      <c r="E28" s="14"/>
      <c r="F28" s="14"/>
      <c r="G28" s="14"/>
      <c r="H28" s="12"/>
      <c r="I28" s="17"/>
      <c r="J28" s="12"/>
      <c r="K28" s="12">
        <f>'Model'!C7</f>
        <v>-0.9128785633852901</v>
      </c>
    </row>
    <row r="29" ht="20.05" customHeight="1">
      <c r="B29" s="25"/>
      <c r="C29" s="13"/>
      <c r="D29" s="14">
        <f>'Model'!D6</f>
        <v>3791.3631</v>
      </c>
      <c r="E29" s="14"/>
      <c r="F29" s="14"/>
      <c r="G29" s="14"/>
      <c r="H29" s="12"/>
      <c r="I29" s="12"/>
      <c r="J29" s="12"/>
      <c r="K29" s="12"/>
    </row>
    <row r="30" ht="20.05" customHeight="1">
      <c r="B30" s="25"/>
      <c r="C30" s="13"/>
      <c r="D30" s="14">
        <f>'Model'!E6</f>
        <v>3980.931255</v>
      </c>
      <c r="E30" s="14">
        <f>SUM(C22:C27)</f>
        <v>19633.2</v>
      </c>
      <c r="F30" s="14">
        <f>SUM(D22:D27)</f>
        <v>20280.038</v>
      </c>
      <c r="G30" s="14"/>
      <c r="H30" s="12"/>
      <c r="I30" s="12"/>
      <c r="J30" s="12"/>
      <c r="K30" s="12"/>
    </row>
    <row r="31" ht="20.05" customHeight="1">
      <c r="B31" s="26">
        <v>2023</v>
      </c>
      <c r="C31" s="13"/>
      <c r="D31" s="14">
        <f>'Model'!F6</f>
        <v>3941.12194245</v>
      </c>
      <c r="E31" s="14"/>
      <c r="F31" s="14"/>
      <c r="G31" s="14"/>
      <c r="H31" s="12"/>
      <c r="I31" s="12"/>
      <c r="J31" s="12"/>
      <c r="K31" s="12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P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7" customWidth="1"/>
    <col min="2" max="2" width="9.89062" style="27" customWidth="1"/>
    <col min="3" max="16" width="10.9922" style="27" customWidth="1"/>
    <col min="17" max="16384" width="16.3516" style="27" customWidth="1"/>
  </cols>
  <sheetData>
    <row r="1" ht="13.8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46.75" customHeight="1">
      <c r="B3" t="s" s="21">
        <v>1</v>
      </c>
      <c r="C3" t="s" s="21">
        <v>47</v>
      </c>
      <c r="D3" t="s" s="21">
        <v>48</v>
      </c>
      <c r="E3" t="s" s="21">
        <v>8</v>
      </c>
      <c r="F3" t="s" s="21">
        <v>9</v>
      </c>
      <c r="G3" t="s" s="21">
        <v>10</v>
      </c>
      <c r="H3" t="s" s="21">
        <v>49</v>
      </c>
      <c r="I3" t="s" s="21">
        <v>50</v>
      </c>
      <c r="J3" t="s" s="21">
        <v>11</v>
      </c>
      <c r="K3" t="s" s="21">
        <v>51</v>
      </c>
      <c r="L3" t="s" s="21">
        <v>34</v>
      </c>
      <c r="M3" t="s" s="21">
        <v>36</v>
      </c>
      <c r="N3" t="s" s="21">
        <v>30</v>
      </c>
      <c r="O3" t="s" s="21">
        <v>36</v>
      </c>
      <c r="P3" s="28"/>
    </row>
    <row r="4" ht="21.4" customHeight="1">
      <c r="B4" s="22">
        <v>2016</v>
      </c>
      <c r="C4" s="23">
        <v>1551</v>
      </c>
      <c r="D4" s="24">
        <v>-6.8</v>
      </c>
      <c r="E4" s="24">
        <v>490.7</v>
      </c>
      <c r="F4" s="24">
        <v>-359.5</v>
      </c>
      <c r="G4" s="24">
        <v>-0.5</v>
      </c>
      <c r="H4" s="24"/>
      <c r="I4" s="24"/>
      <c r="J4" s="24">
        <v>-4.5</v>
      </c>
      <c r="K4" s="24">
        <f>D4+E4+F4+G4</f>
        <v>123.9</v>
      </c>
      <c r="L4" s="29"/>
      <c r="M4" s="24"/>
      <c r="N4" s="24">
        <f>-(J4-G4-D4)</f>
        <v>-2.8</v>
      </c>
      <c r="O4" s="24"/>
      <c r="P4" s="24">
        <v>1</v>
      </c>
    </row>
    <row r="5" ht="21.2" customHeight="1">
      <c r="B5" s="25"/>
      <c r="C5" s="13">
        <v>1749.9</v>
      </c>
      <c r="D5" s="14">
        <v>-6.5</v>
      </c>
      <c r="E5" s="14">
        <v>-43.7</v>
      </c>
      <c r="F5" s="14">
        <v>-512.7</v>
      </c>
      <c r="G5" s="14">
        <v>-0.6</v>
      </c>
      <c r="H5" s="14"/>
      <c r="I5" s="14"/>
      <c r="J5" s="14">
        <v>267</v>
      </c>
      <c r="K5" s="14">
        <f>D5+E5+F5+G5</f>
        <v>-563.5</v>
      </c>
      <c r="L5" s="30"/>
      <c r="M5" s="14"/>
      <c r="N5" s="14">
        <f>-(J5-G5-D5)+N4</f>
        <v>-276.9</v>
      </c>
      <c r="O5" s="14"/>
      <c r="P5" s="14">
        <f>1+P4</f>
        <v>2</v>
      </c>
    </row>
    <row r="6" ht="21.2" customHeight="1">
      <c r="B6" s="25"/>
      <c r="C6" s="13">
        <v>1667.8</v>
      </c>
      <c r="D6" s="14">
        <v>-4.9</v>
      </c>
      <c r="E6" s="14">
        <v>291.2</v>
      </c>
      <c r="F6" s="14">
        <v>-4419.9</v>
      </c>
      <c r="G6" s="14">
        <v>-0.5</v>
      </c>
      <c r="H6" s="14"/>
      <c r="I6" s="14"/>
      <c r="J6" s="14">
        <v>9.4</v>
      </c>
      <c r="K6" s="14">
        <f>D6+E6+F6+G6</f>
        <v>-4134.1</v>
      </c>
      <c r="L6" s="30"/>
      <c r="M6" s="14"/>
      <c r="N6" s="14">
        <f>-(J6-G6-D6)+N5</f>
        <v>-291.7</v>
      </c>
      <c r="O6" s="14"/>
      <c r="P6" s="14">
        <f>1+P5</f>
        <v>3</v>
      </c>
    </row>
    <row r="7" ht="21.2" customHeight="1">
      <c r="B7" s="25"/>
      <c r="C7" s="13">
        <v>2152.4</v>
      </c>
      <c r="D7" s="14">
        <v>-10.1</v>
      </c>
      <c r="E7" s="14">
        <v>470</v>
      </c>
      <c r="F7" s="14">
        <v>-55.6</v>
      </c>
      <c r="G7" s="14">
        <v>-0.3</v>
      </c>
      <c r="H7" s="14"/>
      <c r="I7" s="14"/>
      <c r="J7" s="14">
        <v>-877</v>
      </c>
      <c r="K7" s="14">
        <f>D7+E7+F7+G7</f>
        <v>404</v>
      </c>
      <c r="L7" s="30"/>
      <c r="M7" s="14"/>
      <c r="N7" s="14">
        <f>-(J7-G7-D7)+N6</f>
        <v>574.9</v>
      </c>
      <c r="O7" s="14"/>
      <c r="P7" s="14">
        <f>1+P6</f>
        <v>4</v>
      </c>
    </row>
    <row r="8" ht="21.2" customHeight="1">
      <c r="B8" s="26">
        <v>2017</v>
      </c>
      <c r="C8" s="13">
        <v>1887.2</v>
      </c>
      <c r="D8" s="14">
        <v>-13.8</v>
      </c>
      <c r="E8" s="14">
        <v>233</v>
      </c>
      <c r="F8" s="14">
        <v>777</v>
      </c>
      <c r="G8" s="14">
        <v>-0.7</v>
      </c>
      <c r="H8" s="14"/>
      <c r="I8" s="14"/>
      <c r="J8" s="14">
        <v>-76.7</v>
      </c>
      <c r="K8" s="14">
        <f>D8+E8+F8+G8</f>
        <v>995.5</v>
      </c>
      <c r="L8" s="14">
        <f>AVERAGE(K5:K8)</f>
        <v>-824.525</v>
      </c>
      <c r="M8" s="14"/>
      <c r="N8" s="14">
        <f>-(J8-G8-D8)+N7</f>
        <v>637.1</v>
      </c>
      <c r="O8" s="14"/>
      <c r="P8" s="14">
        <f>1+P7</f>
        <v>5</v>
      </c>
    </row>
    <row r="9" ht="21.2" customHeight="1">
      <c r="B9" s="25"/>
      <c r="C9" s="13">
        <v>1901.3</v>
      </c>
      <c r="D9" s="14">
        <v>6.6</v>
      </c>
      <c r="E9" s="14">
        <v>231.3</v>
      </c>
      <c r="F9" s="14">
        <v>65.3</v>
      </c>
      <c r="G9" s="14">
        <v>-0.9</v>
      </c>
      <c r="H9" s="14"/>
      <c r="I9" s="14"/>
      <c r="J9" s="14">
        <v>1165.1</v>
      </c>
      <c r="K9" s="14">
        <f>D9+E9+F9+G9</f>
        <v>302.3</v>
      </c>
      <c r="L9" s="14">
        <f>AVERAGE(K6:K9)</f>
        <v>-608.075</v>
      </c>
      <c r="M9" s="14"/>
      <c r="N9" s="14">
        <f>-(J9-G9-D9)+N8</f>
        <v>-522.3</v>
      </c>
      <c r="O9" s="14"/>
      <c r="P9" s="14">
        <f>1+P8</f>
        <v>6</v>
      </c>
    </row>
    <row r="10" ht="21.2" customHeight="1">
      <c r="B10" s="25"/>
      <c r="C10" s="13">
        <v>2154.9</v>
      </c>
      <c r="D10" s="14">
        <v>-5.9</v>
      </c>
      <c r="E10" s="14">
        <v>293.3</v>
      </c>
      <c r="F10" s="14">
        <v>-137.7</v>
      </c>
      <c r="G10" s="14">
        <v>-0.7</v>
      </c>
      <c r="H10" s="14"/>
      <c r="I10" s="14"/>
      <c r="J10" s="14">
        <v>363.4</v>
      </c>
      <c r="K10" s="14">
        <f>D10+E10+F10+G10</f>
        <v>149</v>
      </c>
      <c r="L10" s="14">
        <f>AVERAGE(K7:K10)</f>
        <v>462.7</v>
      </c>
      <c r="M10" s="14"/>
      <c r="N10" s="14">
        <f>-(J10-G10-D10)+N9</f>
        <v>-892.3</v>
      </c>
      <c r="O10" s="14"/>
      <c r="P10" s="14">
        <f>1+P9</f>
        <v>7</v>
      </c>
    </row>
    <row r="11" ht="21.2" customHeight="1">
      <c r="B11" s="25"/>
      <c r="C11" s="13">
        <v>1623.4</v>
      </c>
      <c r="D11" s="14">
        <v>-3</v>
      </c>
      <c r="E11" s="14">
        <v>294.4</v>
      </c>
      <c r="F11" s="14">
        <v>796.1</v>
      </c>
      <c r="G11" s="14">
        <v>1</v>
      </c>
      <c r="H11" s="14"/>
      <c r="I11" s="14"/>
      <c r="J11" s="14">
        <v>207.7</v>
      </c>
      <c r="K11" s="14">
        <f>D11+E11+F11+G11</f>
        <v>1088.5</v>
      </c>
      <c r="L11" s="14">
        <f>AVERAGE(K8:K11)</f>
        <v>633.825</v>
      </c>
      <c r="M11" s="14"/>
      <c r="N11" s="14">
        <f>-(J11-G11-D11)+N10</f>
        <v>-1102</v>
      </c>
      <c r="O11" s="14"/>
      <c r="P11" s="14">
        <f>1+P10</f>
        <v>8</v>
      </c>
    </row>
    <row r="12" ht="21.2" customHeight="1">
      <c r="B12" s="26">
        <v>2018</v>
      </c>
      <c r="C12" s="13">
        <v>1765.6</v>
      </c>
      <c r="D12" s="14">
        <v>-6</v>
      </c>
      <c r="E12" s="14">
        <v>91.2</v>
      </c>
      <c r="F12" s="14">
        <v>-213.5</v>
      </c>
      <c r="G12" s="14">
        <v>-0.7</v>
      </c>
      <c r="H12" s="14"/>
      <c r="I12" s="14"/>
      <c r="J12" s="14">
        <v>-10</v>
      </c>
      <c r="K12" s="14">
        <f>D12+E12+F12+G12</f>
        <v>-129</v>
      </c>
      <c r="L12" s="14">
        <f>AVERAGE(K9:K12)</f>
        <v>352.7</v>
      </c>
      <c r="M12" s="14"/>
      <c r="N12" s="14">
        <f>-(J12-G12-D12)+N11</f>
        <v>-1098.7</v>
      </c>
      <c r="O12" s="14"/>
      <c r="P12" s="14">
        <f>1+P11</f>
        <v>9</v>
      </c>
    </row>
    <row r="13" ht="21.2" customHeight="1">
      <c r="B13" s="25"/>
      <c r="C13" s="13">
        <v>1965.8</v>
      </c>
      <c r="D13" s="14">
        <v>-2.6</v>
      </c>
      <c r="E13" s="14">
        <v>-163.1</v>
      </c>
      <c r="F13" s="14">
        <v>-896.8</v>
      </c>
      <c r="G13" s="14">
        <v>-0.9</v>
      </c>
      <c r="H13" s="14"/>
      <c r="I13" s="14"/>
      <c r="J13" s="14">
        <v>63</v>
      </c>
      <c r="K13" s="14">
        <f>D13+E13+F13+G13</f>
        <v>-1063.4</v>
      </c>
      <c r="L13" s="14">
        <f>AVERAGE(K10:K13)</f>
        <v>11.275</v>
      </c>
      <c r="M13" s="14"/>
      <c r="N13" s="14">
        <f>-(J13-G13-D13)+N12</f>
        <v>-1165.2</v>
      </c>
      <c r="O13" s="14"/>
      <c r="P13" s="14">
        <f>1+P12</f>
        <v>10</v>
      </c>
    </row>
    <row r="14" ht="21.2" customHeight="1">
      <c r="B14" s="25"/>
      <c r="C14" s="13">
        <v>2739.6</v>
      </c>
      <c r="D14" s="14">
        <v>-5.4</v>
      </c>
      <c r="E14" s="14">
        <v>556.8</v>
      </c>
      <c r="F14" s="14">
        <v>-181.7</v>
      </c>
      <c r="G14" s="14">
        <v>-0.8</v>
      </c>
      <c r="H14" s="14"/>
      <c r="I14" s="14"/>
      <c r="J14" s="14">
        <v>-358.1</v>
      </c>
      <c r="K14" s="14">
        <f>D14+E14+F14+G14</f>
        <v>368.9</v>
      </c>
      <c r="L14" s="14">
        <f>AVERAGE(K11:K14)</f>
        <v>66.25</v>
      </c>
      <c r="M14" s="14"/>
      <c r="N14" s="14">
        <f>-(J14-G14-D14)+N13</f>
        <v>-813.3</v>
      </c>
      <c r="O14" s="14"/>
      <c r="P14" s="14">
        <f>1+P13</f>
        <v>11</v>
      </c>
    </row>
    <row r="15" ht="21.2" customHeight="1">
      <c r="B15" s="25"/>
      <c r="C15" s="13">
        <v>2613</v>
      </c>
      <c r="D15" s="14">
        <v>-4.1</v>
      </c>
      <c r="E15" s="14">
        <v>291.1</v>
      </c>
      <c r="F15" s="14">
        <v>-1940.7</v>
      </c>
      <c r="G15" s="14">
        <v>-1</v>
      </c>
      <c r="H15" s="14"/>
      <c r="I15" s="14"/>
      <c r="J15" s="14">
        <v>-80.09999999999999</v>
      </c>
      <c r="K15" s="14">
        <f>D15+E15+F15+G15</f>
        <v>-1654.7</v>
      </c>
      <c r="L15" s="14">
        <f>AVERAGE(K12:K15)</f>
        <v>-619.55</v>
      </c>
      <c r="M15" s="14"/>
      <c r="N15" s="14">
        <f>-(J15-G15-D15)+N14</f>
        <v>-738.3</v>
      </c>
      <c r="O15" s="14"/>
      <c r="P15" s="14">
        <f>1+P14</f>
        <v>12</v>
      </c>
    </row>
    <row r="16" ht="21.2" customHeight="1">
      <c r="B16" s="26">
        <v>2019</v>
      </c>
      <c r="C16" s="13">
        <v>2468.9</v>
      </c>
      <c r="D16" s="14">
        <v>-3.9</v>
      </c>
      <c r="E16" s="14">
        <v>-120.6</v>
      </c>
      <c r="F16" s="14">
        <v>69.59999999999999</v>
      </c>
      <c r="G16" s="14">
        <v>-0.6</v>
      </c>
      <c r="H16" s="14"/>
      <c r="I16" s="14"/>
      <c r="J16" s="14">
        <v>-78.59999999999999</v>
      </c>
      <c r="K16" s="14">
        <f>D16+E16+F16+G16</f>
        <v>-55.5</v>
      </c>
      <c r="L16" s="14">
        <f>AVERAGE(K13:K16)</f>
        <v>-601.175</v>
      </c>
      <c r="M16" s="14"/>
      <c r="N16" s="14">
        <f>-(J16-G16-D16)+N15</f>
        <v>-664.2</v>
      </c>
      <c r="O16" s="14"/>
      <c r="P16" s="14">
        <f>1+P15</f>
        <v>13</v>
      </c>
    </row>
    <row r="17" ht="21.2" customHeight="1">
      <c r="B17" s="25"/>
      <c r="C17" s="13">
        <v>2461.2</v>
      </c>
      <c r="D17" s="14">
        <v>-2.5</v>
      </c>
      <c r="E17" s="14">
        <v>-815.7</v>
      </c>
      <c r="F17" s="14">
        <v>-190.9</v>
      </c>
      <c r="G17" s="14">
        <v>-0.6</v>
      </c>
      <c r="H17" s="14"/>
      <c r="I17" s="14"/>
      <c r="J17" s="14">
        <v>-216.9</v>
      </c>
      <c r="K17" s="14">
        <f>D17+E17+F17+G17</f>
        <v>-1009.7</v>
      </c>
      <c r="L17" s="14">
        <f>AVERAGE(K14:K17)</f>
        <v>-587.75</v>
      </c>
      <c r="M17" s="14"/>
      <c r="N17" s="14">
        <f>-(J17-G17-D17)+N16</f>
        <v>-450.4</v>
      </c>
      <c r="O17" s="14"/>
      <c r="P17" s="14">
        <f>1+P16</f>
        <v>14</v>
      </c>
    </row>
    <row r="18" ht="21.2" customHeight="1">
      <c r="B18" s="25"/>
      <c r="C18" s="13">
        <v>2843.8</v>
      </c>
      <c r="D18" s="14">
        <v>1.7</v>
      </c>
      <c r="E18" s="14">
        <v>-130.2</v>
      </c>
      <c r="F18" s="14">
        <v>-590.4</v>
      </c>
      <c r="G18" s="14">
        <v>-1.5</v>
      </c>
      <c r="H18" s="14"/>
      <c r="I18" s="14"/>
      <c r="J18" s="14">
        <v>791</v>
      </c>
      <c r="K18" s="14">
        <f>D18+E18+F18+G18</f>
        <v>-720.4</v>
      </c>
      <c r="L18" s="14">
        <f>AVERAGE(K15:K18)</f>
        <v>-860.075</v>
      </c>
      <c r="M18" s="14"/>
      <c r="N18" s="14">
        <f>-(J18-G18-D18)+N17</f>
        <v>-1241.2</v>
      </c>
      <c r="O18" s="14"/>
      <c r="P18" s="14">
        <f>1+P17</f>
        <v>15</v>
      </c>
    </row>
    <row r="19" ht="21.2" customHeight="1">
      <c r="B19" s="25"/>
      <c r="C19" s="13">
        <v>3164.4</v>
      </c>
      <c r="D19" s="14">
        <v>-10.2</v>
      </c>
      <c r="E19" s="14">
        <v>-535.6</v>
      </c>
      <c r="F19" s="14">
        <v>-49.7</v>
      </c>
      <c r="G19" s="14">
        <v>-0.3</v>
      </c>
      <c r="H19" s="14"/>
      <c r="I19" s="14"/>
      <c r="J19" s="14">
        <v>637.5</v>
      </c>
      <c r="K19" s="14">
        <f>D19+E19+F19+G19</f>
        <v>-595.8</v>
      </c>
      <c r="L19" s="14">
        <f>AVERAGE(K16:K19)</f>
        <v>-595.35</v>
      </c>
      <c r="M19" s="14"/>
      <c r="N19" s="14">
        <f>-(J19-G19-D19)+N18</f>
        <v>-1889.2</v>
      </c>
      <c r="O19" s="14"/>
      <c r="P19" s="14">
        <f>1+P18</f>
        <v>16</v>
      </c>
    </row>
    <row r="20" ht="21.2" customHeight="1">
      <c r="B20" s="26">
        <v>2020</v>
      </c>
      <c r="C20" s="13">
        <v>2541.5</v>
      </c>
      <c r="D20" s="14">
        <v>-3</v>
      </c>
      <c r="E20" s="14">
        <v>42.1</v>
      </c>
      <c r="F20" s="14">
        <v>-82.7</v>
      </c>
      <c r="G20" s="14">
        <v>-0.3</v>
      </c>
      <c r="H20" s="14">
        <f>J20-I20-G20-D20</f>
        <v>638.4</v>
      </c>
      <c r="I20" s="14">
        <f>-28.1</f>
        <v>-28.1</v>
      </c>
      <c r="J20" s="14">
        <v>607</v>
      </c>
      <c r="K20" s="14">
        <f>D20+E20+F20+G20</f>
        <v>-43.9</v>
      </c>
      <c r="L20" s="14">
        <f>AVERAGE(K17:K20)</f>
        <v>-592.45</v>
      </c>
      <c r="M20" s="14"/>
      <c r="N20" s="14">
        <f>-(J20-G20-D20)+N19</f>
        <v>-2499.5</v>
      </c>
      <c r="O20" s="14"/>
      <c r="P20" s="14">
        <f>1+P19</f>
        <v>17</v>
      </c>
    </row>
    <row r="21" ht="21.2" customHeight="1">
      <c r="B21" s="25"/>
      <c r="C21" s="13">
        <v>2893.3</v>
      </c>
      <c r="D21" s="14">
        <v>-14.8</v>
      </c>
      <c r="E21" s="14">
        <v>-108.9</v>
      </c>
      <c r="F21" s="14">
        <v>-228.7</v>
      </c>
      <c r="G21" s="14">
        <v>-0.2</v>
      </c>
      <c r="H21" s="14">
        <f>J21-I21-G21-D21</f>
        <v>334</v>
      </c>
      <c r="I21" s="14">
        <f>-445.4-272.9-I20</f>
        <v>-690.2</v>
      </c>
      <c r="J21" s="14">
        <v>-371.2</v>
      </c>
      <c r="K21" s="14">
        <f>D21+E21+F21+G21</f>
        <v>-352.6</v>
      </c>
      <c r="L21" s="14">
        <f>AVERAGE(K18:K21)</f>
        <v>-428.175</v>
      </c>
      <c r="M21" s="14"/>
      <c r="N21" s="14">
        <f>-(J21-G21-D21)+N20</f>
        <v>-2143.3</v>
      </c>
      <c r="O21" s="14"/>
      <c r="P21" s="14">
        <f>1+P20</f>
        <v>18</v>
      </c>
    </row>
    <row r="22" ht="21.2" customHeight="1">
      <c r="B22" s="25"/>
      <c r="C22" s="13">
        <v>3204.7</v>
      </c>
      <c r="D22" s="14">
        <v>10.9</v>
      </c>
      <c r="E22" s="14">
        <v>228.4</v>
      </c>
      <c r="F22" s="14">
        <v>901.7</v>
      </c>
      <c r="G22" s="14">
        <v>-0.3</v>
      </c>
      <c r="H22" s="14">
        <f>J22-I22-G22-D22</f>
        <v>201.4</v>
      </c>
      <c r="I22" s="14">
        <f>-809.2-0.8-323.5+1-SUM(I20:I21)</f>
        <v>-414.2</v>
      </c>
      <c r="J22" s="14">
        <v>-202.2</v>
      </c>
      <c r="K22" s="14">
        <f>D22+E22+F22+G22</f>
        <v>1140.7</v>
      </c>
      <c r="L22" s="14">
        <f>AVERAGE(K19:K22)</f>
        <v>37.1</v>
      </c>
      <c r="M22" s="14"/>
      <c r="N22" s="14">
        <f>-(J22-G22-D22)+N21</f>
        <v>-1930.5</v>
      </c>
      <c r="O22" s="14"/>
      <c r="P22" s="14">
        <f>1+P21</f>
        <v>19</v>
      </c>
    </row>
    <row r="23" ht="21.2" customHeight="1">
      <c r="B23" s="25"/>
      <c r="C23" s="13">
        <f>12121.8-SUM(C20:C22)</f>
        <v>3482.3</v>
      </c>
      <c r="D23" s="14">
        <f>-44.1-SUM(D20:D22)</f>
        <v>-37.2</v>
      </c>
      <c r="E23" s="14">
        <f>1812.8-SUM(E20:E22)</f>
        <v>1651.2</v>
      </c>
      <c r="F23" s="14">
        <f>-190.7-SUM(F20:F22)</f>
        <v>-781</v>
      </c>
      <c r="G23" s="14">
        <f>-1.8-SUM(G20:G22)</f>
        <v>-1</v>
      </c>
      <c r="H23" s="14">
        <f>J23-I23-G23-D23</f>
        <v>115.3</v>
      </c>
      <c r="I23" s="14">
        <f>1-3.7-328.7-2791.6+22.5-SUM(I20:I22)</f>
        <v>-1968</v>
      </c>
      <c r="J23" s="14">
        <f>-1857.3-SUM(J20:J22)</f>
        <v>-1890.9</v>
      </c>
      <c r="K23" s="14">
        <f>D23+E23+F23+G23</f>
        <v>832</v>
      </c>
      <c r="L23" s="14">
        <f>AVERAGE(K20:K23)</f>
        <v>394.05</v>
      </c>
      <c r="M23" s="14"/>
      <c r="N23" s="14">
        <f>-(J23-G23-D23)+N22</f>
        <v>-77.8</v>
      </c>
      <c r="O23" s="14"/>
      <c r="P23" s="14">
        <f>1+P22</f>
        <v>20</v>
      </c>
    </row>
    <row r="24" ht="21.2" customHeight="1">
      <c r="B24" s="26">
        <v>2021</v>
      </c>
      <c r="C24" s="13">
        <v>3084.6</v>
      </c>
      <c r="D24" s="14">
        <v>-38</v>
      </c>
      <c r="E24" s="14">
        <v>472.8</v>
      </c>
      <c r="F24" s="14">
        <v>-391.3</v>
      </c>
      <c r="G24" s="14">
        <v>-2</v>
      </c>
      <c r="H24" s="14">
        <f>J24-I24-G24-D24</f>
        <v>-406.7</v>
      </c>
      <c r="I24" s="14">
        <f>-9.2+9184.5+275.5+303.2</f>
        <v>9754</v>
      </c>
      <c r="J24" s="14">
        <f>9307.3</f>
        <v>9307.299999999999</v>
      </c>
      <c r="K24" s="14">
        <f>D24+E24+F24+G24</f>
        <v>41.5</v>
      </c>
      <c r="L24" s="14">
        <f>AVERAGE(K21:K24)</f>
        <v>415.4</v>
      </c>
      <c r="M24" s="14"/>
      <c r="N24" s="14">
        <f>-(J24-G24-D24)+N23</f>
        <v>-9425.1</v>
      </c>
      <c r="O24" s="14"/>
      <c r="P24" s="14">
        <f>1+P23</f>
        <v>21</v>
      </c>
    </row>
    <row r="25" ht="21.2" customHeight="1">
      <c r="B25" s="25"/>
      <c r="C25" s="13">
        <f>6293.1-C24</f>
        <v>3208.5</v>
      </c>
      <c r="D25" s="14">
        <f>-114-D24</f>
        <v>-76</v>
      </c>
      <c r="E25" s="14">
        <f>635.2-E24</f>
        <v>162.4</v>
      </c>
      <c r="F25" s="14">
        <f>-3013.7-F24</f>
        <v>-2622.4</v>
      </c>
      <c r="G25" s="14">
        <f>-4.2-G24</f>
        <v>-2.2</v>
      </c>
      <c r="H25" s="14">
        <f>J25-I25-G25-D25</f>
        <v>-1182.2</v>
      </c>
      <c r="I25" s="14">
        <f>9184.5+310.5+281.5-9.2-2.1-I24</f>
        <v>11.2</v>
      </c>
      <c r="J25" s="14">
        <f>8058.1-J24</f>
        <v>-1249.2</v>
      </c>
      <c r="K25" s="14">
        <f>D25+E25+F25+G25</f>
        <v>-2538.2</v>
      </c>
      <c r="L25" s="14">
        <f>AVERAGE(K22:K25)</f>
        <v>-131</v>
      </c>
      <c r="M25" s="14"/>
      <c r="N25" s="14">
        <f>-(J25-G25-D25)+N24</f>
        <v>-8254.1</v>
      </c>
      <c r="O25" s="14"/>
      <c r="P25" s="14">
        <f>1+P24</f>
        <v>22</v>
      </c>
    </row>
    <row r="26" ht="21.2" customHeight="1">
      <c r="B26" s="25"/>
      <c r="C26" s="13">
        <f>9483-SUM(C24:C25)</f>
        <v>3189.9</v>
      </c>
      <c r="D26" s="14">
        <f>-125.9-SUM(D24:D25)</f>
        <v>-11.9</v>
      </c>
      <c r="E26" s="14">
        <f>1194.5-SUM(E24:E25)</f>
        <v>559.3</v>
      </c>
      <c r="F26" s="14">
        <f>-7403.6-SUM(F24:F25)</f>
        <v>-4389.9</v>
      </c>
      <c r="G26" s="14">
        <f>-6.6-SUM(G24:G25)</f>
        <v>-2.4</v>
      </c>
      <c r="H26" s="14">
        <f>J26-I26-G26-D26</f>
        <v>-406.4</v>
      </c>
      <c r="I26" s="14">
        <f>9184.5+927.8+1417.3-15.6-2.1-SUM(I24:I25)</f>
        <v>1746.7</v>
      </c>
      <c r="J26" s="14">
        <f>9384.1-SUM(J24:J25)</f>
        <v>1326</v>
      </c>
      <c r="K26" s="14">
        <f>D26+E26+F26+G26</f>
        <v>-3844.9</v>
      </c>
      <c r="L26" s="14">
        <f>AVERAGE(K23:K26)</f>
        <v>-1377.4</v>
      </c>
      <c r="M26" s="14"/>
      <c r="N26" s="14">
        <f>-(J26-G26-D26)+N25</f>
        <v>-9594.4</v>
      </c>
      <c r="O26" s="14"/>
      <c r="P26" s="14">
        <f>1+P25</f>
        <v>23</v>
      </c>
    </row>
    <row r="27" ht="21.2" customHeight="1">
      <c r="B27" s="25"/>
      <c r="C27" s="13">
        <f>12978.6-SUM(C24:C26)</f>
        <v>3495.6</v>
      </c>
      <c r="D27" s="14">
        <f>-140.7-SUM(D24:D26)</f>
        <v>-14.8</v>
      </c>
      <c r="E27" s="14">
        <f>1571.9-SUM(E24:E26)</f>
        <v>377.4</v>
      </c>
      <c r="F27" s="14">
        <f>-10750.4-SUM(F24:F26)</f>
        <v>-3346.8</v>
      </c>
      <c r="G27" s="14">
        <f>-6-SUM(G24:G26)</f>
        <v>0.6</v>
      </c>
      <c r="H27" s="14">
        <f>J27-I27-G27-D27</f>
        <v>114.8</v>
      </c>
      <c r="I27" s="14">
        <f>-2.1-47.1+3060.7+9184.5+1504.1+1000-SUM(I24:I26)</f>
        <v>3188.2</v>
      </c>
      <c r="J27" s="14">
        <f>12672.9-SUM(J24:J26)</f>
        <v>3288.8</v>
      </c>
      <c r="K27" s="14">
        <f>D27+E27+F27+G27</f>
        <v>-2983.6</v>
      </c>
      <c r="L27" s="14">
        <f>AVERAGE(K24:K27)</f>
        <v>-2331.3</v>
      </c>
      <c r="M27" s="14"/>
      <c r="N27" s="14">
        <f>-(J27-G27-D27)+N26</f>
        <v>-12897.4</v>
      </c>
      <c r="O27" s="14"/>
      <c r="P27" s="14">
        <f>1+P26</f>
        <v>24</v>
      </c>
    </row>
    <row r="28" ht="21.2" customHeight="1">
      <c r="B28" s="26">
        <v>2022</v>
      </c>
      <c r="C28" s="13">
        <v>3171.9</v>
      </c>
      <c r="D28" s="14">
        <v>-15.4</v>
      </c>
      <c r="E28" s="14">
        <v>-594.6</v>
      </c>
      <c r="F28" s="14">
        <v>-1708.6</v>
      </c>
      <c r="G28" s="14">
        <v>-2.4</v>
      </c>
      <c r="H28" s="14">
        <f>J28-I28-G28-D28</f>
        <v>13.8</v>
      </c>
      <c r="I28" s="14">
        <f>-8+7.2+1120.5</f>
        <v>1119.7</v>
      </c>
      <c r="J28" s="14">
        <v>1115.7</v>
      </c>
      <c r="K28" s="14">
        <f>D28+E28+F28+G28</f>
        <v>-2321</v>
      </c>
      <c r="L28" s="14">
        <f>AVERAGE(K25:K28)</f>
        <v>-2921.925</v>
      </c>
      <c r="M28" s="14">
        <v>436.11687725</v>
      </c>
      <c r="N28" s="14">
        <f>-(J28-G28-D28)+N27</f>
        <v>-14030.9</v>
      </c>
      <c r="O28" s="14">
        <v>-7004.541371825</v>
      </c>
      <c r="P28" s="14">
        <f>1+P27</f>
        <v>25</v>
      </c>
    </row>
    <row r="29" ht="21.2" customHeight="1">
      <c r="B29" s="25"/>
      <c r="C29" s="13"/>
      <c r="D29" s="14"/>
      <c r="E29" s="14"/>
      <c r="F29" s="14"/>
      <c r="G29" s="14"/>
      <c r="H29" s="14"/>
      <c r="I29" s="14"/>
      <c r="J29" s="14"/>
      <c r="K29" s="14"/>
      <c r="L29" s="17"/>
      <c r="M29" s="14">
        <f>SUM('Model'!F9:F11)</f>
        <v>-1367.6437945</v>
      </c>
      <c r="N29" s="17"/>
      <c r="O29" s="14">
        <f>'Model'!F35</f>
        <v>-19545.7103445</v>
      </c>
      <c r="P29" s="14"/>
    </row>
    <row r="30" ht="21.2" customHeight="1">
      <c r="B30" s="25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</sheetData>
  <mergeCells count="1">
    <mergeCell ref="B2:P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1" customWidth="1"/>
    <col min="2" max="12" width="9.21875" style="31" customWidth="1"/>
    <col min="13" max="16384" width="16.3516" style="31" customWidth="1"/>
  </cols>
  <sheetData>
    <row r="1" ht="7.55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21">
        <v>1</v>
      </c>
      <c r="C3" t="s" s="21">
        <v>52</v>
      </c>
      <c r="D3" t="s" s="21">
        <v>53</v>
      </c>
      <c r="E3" t="s" s="21">
        <v>24</v>
      </c>
      <c r="F3" t="s" s="21">
        <v>25</v>
      </c>
      <c r="G3" t="s" s="21">
        <v>54</v>
      </c>
      <c r="H3" t="s" s="21">
        <v>12</v>
      </c>
      <c r="I3" t="s" s="21">
        <v>15</v>
      </c>
      <c r="J3" t="s" s="21">
        <v>55</v>
      </c>
      <c r="K3" t="s" s="21">
        <v>56</v>
      </c>
      <c r="L3" t="s" s="21">
        <v>36</v>
      </c>
    </row>
    <row r="4" ht="20.25" customHeight="1">
      <c r="B4" s="22">
        <v>2016</v>
      </c>
      <c r="C4" s="23">
        <v>7643</v>
      </c>
      <c r="D4" s="24">
        <v>17515</v>
      </c>
      <c r="E4" s="24">
        <f>D4-C4</f>
        <v>9872</v>
      </c>
      <c r="F4" s="24">
        <f>2099+375</f>
        <v>2474</v>
      </c>
      <c r="G4" s="24">
        <v>3</v>
      </c>
      <c r="H4" s="24">
        <v>2173</v>
      </c>
      <c r="I4" s="24">
        <v>15342</v>
      </c>
      <c r="J4" s="24">
        <f>H4+I4-C4-E4</f>
        <v>0</v>
      </c>
      <c r="K4" s="24">
        <f>C4-H4</f>
        <v>5470</v>
      </c>
      <c r="L4" s="24"/>
    </row>
    <row r="5" ht="20.05" customHeight="1">
      <c r="B5" s="25"/>
      <c r="C5" s="13">
        <v>7340</v>
      </c>
      <c r="D5" s="14">
        <v>20290</v>
      </c>
      <c r="E5" s="14">
        <f>D5-C5</f>
        <v>12950</v>
      </c>
      <c r="F5" s="14">
        <f>2176+395</f>
        <v>2571</v>
      </c>
      <c r="G5" s="14">
        <v>3</v>
      </c>
      <c r="H5" s="14">
        <v>4551</v>
      </c>
      <c r="I5" s="14">
        <v>15739</v>
      </c>
      <c r="J5" s="14">
        <f>H5+I5-C5-E5</f>
        <v>0</v>
      </c>
      <c r="K5" s="14">
        <f>C5-H5</f>
        <v>2789</v>
      </c>
      <c r="L5" s="14"/>
    </row>
    <row r="6" ht="20.05" customHeight="1">
      <c r="B6" s="25"/>
      <c r="C6" s="13">
        <v>3176</v>
      </c>
      <c r="D6" s="14">
        <v>20965</v>
      </c>
      <c r="E6" s="14">
        <f>D6-C6</f>
        <v>17789</v>
      </c>
      <c r="F6" s="14">
        <f>415+2286</f>
        <v>2701</v>
      </c>
      <c r="G6" s="14">
        <v>2</v>
      </c>
      <c r="H6" s="14">
        <v>4845</v>
      </c>
      <c r="I6" s="14">
        <v>16120</v>
      </c>
      <c r="J6" s="14">
        <f>H6+I6-C6-E6</f>
        <v>0</v>
      </c>
      <c r="K6" s="14">
        <f>C6-H6</f>
        <v>-1669</v>
      </c>
      <c r="L6" s="14"/>
    </row>
    <row r="7" ht="20.05" customHeight="1">
      <c r="B7" s="25"/>
      <c r="C7" s="13">
        <v>2915</v>
      </c>
      <c r="D7" s="14">
        <v>20376</v>
      </c>
      <c r="E7" s="14">
        <f>D7-C7</f>
        <v>17461</v>
      </c>
      <c r="F7" s="14">
        <f>2371+501</f>
        <v>2872</v>
      </c>
      <c r="G7" s="14">
        <v>2</v>
      </c>
      <c r="H7" s="14">
        <v>4570</v>
      </c>
      <c r="I7" s="14">
        <v>15806</v>
      </c>
      <c r="J7" s="14">
        <f>H7+I7-C7-E7</f>
        <v>0</v>
      </c>
      <c r="K7" s="14">
        <f>C7-H7</f>
        <v>-1655</v>
      </c>
      <c r="L7" s="14"/>
    </row>
    <row r="8" ht="20.05" customHeight="1">
      <c r="B8" s="26">
        <v>2017</v>
      </c>
      <c r="C8" s="13">
        <v>3836</v>
      </c>
      <c r="D8" s="14">
        <v>20654</v>
      </c>
      <c r="E8" s="14">
        <f>D8-C8</f>
        <v>16818</v>
      </c>
      <c r="F8" s="14">
        <f>2517+488</f>
        <v>3005</v>
      </c>
      <c r="G8" s="14">
        <v>6</v>
      </c>
      <c r="H8" s="14">
        <v>4722</v>
      </c>
      <c r="I8" s="14">
        <v>15932</v>
      </c>
      <c r="J8" s="14">
        <f>H8+I8-C8-E8</f>
        <v>0</v>
      </c>
      <c r="K8" s="14">
        <f>C8-H8</f>
        <v>-886</v>
      </c>
      <c r="L8" s="14"/>
    </row>
    <row r="9" ht="20.05" customHeight="1">
      <c r="B9" s="25"/>
      <c r="C9" s="13">
        <v>5298</v>
      </c>
      <c r="D9" s="14">
        <v>22327</v>
      </c>
      <c r="E9" s="14">
        <f>D9-C9</f>
        <v>17029</v>
      </c>
      <c r="F9" s="14">
        <f>2265+617</f>
        <v>2882</v>
      </c>
      <c r="G9" s="14">
        <v>5</v>
      </c>
      <c r="H9" s="14">
        <v>4910</v>
      </c>
      <c r="I9" s="14">
        <v>17417</v>
      </c>
      <c r="J9" s="14">
        <f>H9+I9-C9-E9</f>
        <v>0</v>
      </c>
      <c r="K9" s="14">
        <f>C9-H9</f>
        <v>388</v>
      </c>
      <c r="L9" s="14"/>
    </row>
    <row r="10" ht="20.05" customHeight="1">
      <c r="B10" s="25"/>
      <c r="C10" s="13">
        <v>5836</v>
      </c>
      <c r="D10" s="14">
        <v>22058</v>
      </c>
      <c r="E10" s="14">
        <f>D10-C10</f>
        <v>16222</v>
      </c>
      <c r="F10" s="14">
        <f>2342.9+669.7</f>
        <v>3012.6</v>
      </c>
      <c r="G10" s="14">
        <v>4</v>
      </c>
      <c r="H10" s="14">
        <v>4268</v>
      </c>
      <c r="I10" s="14">
        <v>17790</v>
      </c>
      <c r="J10" s="14">
        <f>H10+I10-C10-E10</f>
        <v>0</v>
      </c>
      <c r="K10" s="14">
        <f>C10-H10</f>
        <v>1568</v>
      </c>
      <c r="L10" s="14"/>
    </row>
    <row r="11" ht="20.05" customHeight="1">
      <c r="B11" s="25"/>
      <c r="C11" s="13">
        <v>7140</v>
      </c>
      <c r="D11" s="14">
        <v>22210</v>
      </c>
      <c r="E11" s="14">
        <f>D11-C11</f>
        <v>15070</v>
      </c>
      <c r="F11" s="14">
        <f>2242+755</f>
        <v>2997</v>
      </c>
      <c r="G11" s="14">
        <v>6</v>
      </c>
      <c r="H11" s="14">
        <v>4359</v>
      </c>
      <c r="I11" s="14">
        <v>17851</v>
      </c>
      <c r="J11" s="14">
        <f>H11+I11-C11-E11</f>
        <v>0</v>
      </c>
      <c r="K11" s="14">
        <f>C11-H11</f>
        <v>2781</v>
      </c>
      <c r="L11" s="14"/>
    </row>
    <row r="12" ht="20.05" customHeight="1">
      <c r="B12" s="26">
        <v>2018</v>
      </c>
      <c r="C12" s="13">
        <v>7152</v>
      </c>
      <c r="D12" s="14">
        <v>22547</v>
      </c>
      <c r="E12" s="14">
        <f>D12-C12</f>
        <v>15395</v>
      </c>
      <c r="F12" s="14">
        <f>2312+808</f>
        <v>3120</v>
      </c>
      <c r="G12" s="14">
        <v>5</v>
      </c>
      <c r="H12" s="14">
        <v>4677</v>
      </c>
      <c r="I12" s="14">
        <v>17870</v>
      </c>
      <c r="J12" s="14">
        <f>H12+I12-C12-E12</f>
        <v>0</v>
      </c>
      <c r="K12" s="14">
        <f>C12-H12</f>
        <v>2475</v>
      </c>
      <c r="L12" s="14"/>
    </row>
    <row r="13" ht="20.05" customHeight="1">
      <c r="B13" s="25"/>
      <c r="C13" s="13">
        <v>6355</v>
      </c>
      <c r="D13" s="14">
        <v>22255</v>
      </c>
      <c r="E13" s="14">
        <f>D13-C13</f>
        <v>15900</v>
      </c>
      <c r="F13" s="14">
        <f>2376+862</f>
        <v>3238</v>
      </c>
      <c r="G13" s="14">
        <v>5</v>
      </c>
      <c r="H13" s="14">
        <v>4649</v>
      </c>
      <c r="I13" s="14">
        <v>17606</v>
      </c>
      <c r="J13" s="14">
        <f>H13+I13-C13-E13</f>
        <v>0</v>
      </c>
      <c r="K13" s="14">
        <f>C13-H13</f>
        <v>1706</v>
      </c>
      <c r="L13" s="14"/>
    </row>
    <row r="14" ht="20.05" customHeight="1">
      <c r="B14" s="25"/>
      <c r="C14" s="13">
        <v>6513</v>
      </c>
      <c r="D14" s="14">
        <v>22242</v>
      </c>
      <c r="E14" s="14">
        <f>D14-C14</f>
        <v>15729</v>
      </c>
      <c r="F14" s="14">
        <f>2425+918</f>
        <v>3343</v>
      </c>
      <c r="G14" s="14">
        <v>3</v>
      </c>
      <c r="H14" s="14">
        <v>4613</v>
      </c>
      <c r="I14" s="14">
        <v>17629</v>
      </c>
      <c r="J14" s="14">
        <f>H14+I14-C14-E14</f>
        <v>0</v>
      </c>
      <c r="K14" s="14">
        <f>C14-H14</f>
        <v>1900</v>
      </c>
      <c r="L14" s="14"/>
    </row>
    <row r="15" ht="20.05" customHeight="1">
      <c r="B15" s="25"/>
      <c r="C15" s="13">
        <v>4624</v>
      </c>
      <c r="D15" s="14">
        <v>19525</v>
      </c>
      <c r="E15" s="14">
        <f>D15-C15</f>
        <v>14901</v>
      </c>
      <c r="F15" s="14">
        <f>1020+2496</f>
        <v>3516</v>
      </c>
      <c r="G15" s="14">
        <v>3</v>
      </c>
      <c r="H15" s="14">
        <v>4061</v>
      </c>
      <c r="I15" s="14">
        <v>15464</v>
      </c>
      <c r="J15" s="14">
        <f>H15+I15-C15-E15</f>
        <v>0</v>
      </c>
      <c r="K15" s="14">
        <f>C15-H15</f>
        <v>563</v>
      </c>
      <c r="L15" s="14"/>
    </row>
    <row r="16" ht="20.05" customHeight="1">
      <c r="B16" s="26">
        <v>2019</v>
      </c>
      <c r="C16" s="13">
        <v>4459</v>
      </c>
      <c r="D16" s="14">
        <v>19427</v>
      </c>
      <c r="E16" s="14">
        <f>D16-C16</f>
        <v>14968</v>
      </c>
      <c r="F16" s="14">
        <f>2569+1075</f>
        <v>3644</v>
      </c>
      <c r="G16" s="14">
        <v>3</v>
      </c>
      <c r="H16" s="14">
        <v>4195</v>
      </c>
      <c r="I16" s="14">
        <v>15232</v>
      </c>
      <c r="J16" s="14">
        <f>H16+I16-C16-E16</f>
        <v>0</v>
      </c>
      <c r="K16" s="14">
        <f>C16-H16</f>
        <v>264</v>
      </c>
      <c r="L16" s="14"/>
    </row>
    <row r="17" ht="20.05" customHeight="1">
      <c r="B17" s="25"/>
      <c r="C17" s="13">
        <v>3238</v>
      </c>
      <c r="D17" s="14">
        <v>17922</v>
      </c>
      <c r="E17" s="14">
        <f>D17-C17</f>
        <v>14684</v>
      </c>
      <c r="F17" s="14">
        <f>2613+1118</f>
        <v>3731</v>
      </c>
      <c r="G17" s="14">
        <v>2</v>
      </c>
      <c r="H17" s="14">
        <v>3796</v>
      </c>
      <c r="I17" s="14">
        <v>14126</v>
      </c>
      <c r="J17" s="14">
        <f>H17+I17-C17-E17</f>
        <v>0</v>
      </c>
      <c r="K17" s="14">
        <f>C17-H17</f>
        <v>-558</v>
      </c>
      <c r="L17" s="14"/>
    </row>
    <row r="18" ht="20.05" customHeight="1">
      <c r="B18" s="25"/>
      <c r="C18" s="13">
        <v>3300</v>
      </c>
      <c r="D18" s="14">
        <v>18237</v>
      </c>
      <c r="E18" s="14">
        <f>D18-C18</f>
        <v>14937</v>
      </c>
      <c r="F18" s="14">
        <f>2536+1138</f>
        <v>3674</v>
      </c>
      <c r="G18" s="14">
        <v>2</v>
      </c>
      <c r="H18" s="14">
        <v>4642</v>
      </c>
      <c r="I18" s="14">
        <v>13595</v>
      </c>
      <c r="J18" s="14">
        <f>H18+I18-C18-E18</f>
        <v>0</v>
      </c>
      <c r="K18" s="14">
        <f>C18-H18</f>
        <v>-1342</v>
      </c>
      <c r="L18" s="14"/>
    </row>
    <row r="19" ht="20.05" customHeight="1">
      <c r="B19" s="25"/>
      <c r="C19" s="13">
        <v>3315</v>
      </c>
      <c r="D19" s="14">
        <v>17541</v>
      </c>
      <c r="E19" s="14">
        <f>D19-C19</f>
        <v>14226</v>
      </c>
      <c r="F19" s="14">
        <f>2515+811</f>
        <v>3326</v>
      </c>
      <c r="G19" s="14">
        <v>2</v>
      </c>
      <c r="H19" s="14">
        <v>5276</v>
      </c>
      <c r="I19" s="14">
        <v>12265</v>
      </c>
      <c r="J19" s="14">
        <f>H19+I19-C19-E19</f>
        <v>0</v>
      </c>
      <c r="K19" s="14">
        <f>C19-H19</f>
        <v>-1961</v>
      </c>
      <c r="L19" s="14"/>
    </row>
    <row r="20" ht="20.05" customHeight="1">
      <c r="B20" s="26">
        <v>2020</v>
      </c>
      <c r="C20" s="13">
        <v>4217</v>
      </c>
      <c r="D20" s="14">
        <v>18538</v>
      </c>
      <c r="E20" s="14">
        <f>D20-C20</f>
        <v>14321</v>
      </c>
      <c r="F20" s="14">
        <f>2596+831</f>
        <v>3427</v>
      </c>
      <c r="G20" s="14">
        <v>2</v>
      </c>
      <c r="H20" s="14">
        <v>6664</v>
      </c>
      <c r="I20" s="14">
        <v>11874</v>
      </c>
      <c r="J20" s="14">
        <f>H20+I20-C20-E20</f>
        <v>0</v>
      </c>
      <c r="K20" s="14">
        <f>C20-H20</f>
        <v>-2447</v>
      </c>
      <c r="L20" s="14"/>
    </row>
    <row r="21" ht="20.05" customHeight="1">
      <c r="B21" s="25"/>
      <c r="C21" s="13">
        <v>3247</v>
      </c>
      <c r="D21" s="14">
        <v>17336</v>
      </c>
      <c r="E21" s="14">
        <f>D21-C21</f>
        <v>14089</v>
      </c>
      <c r="F21" s="14">
        <f>2678+851</f>
        <v>3529</v>
      </c>
      <c r="G21" s="14">
        <v>2</v>
      </c>
      <c r="H21" s="14">
        <v>6193</v>
      </c>
      <c r="I21" s="14">
        <v>11143</v>
      </c>
      <c r="J21" s="14">
        <f>H21+I21-C21-E21</f>
        <v>0</v>
      </c>
      <c r="K21" s="14">
        <f>C21-H21</f>
        <v>-2946</v>
      </c>
      <c r="L21" s="14"/>
    </row>
    <row r="22" ht="20.05" customHeight="1">
      <c r="B22" s="25"/>
      <c r="C22" s="13">
        <v>4229</v>
      </c>
      <c r="D22" s="14">
        <v>17636</v>
      </c>
      <c r="E22" s="14">
        <f>D22-C22</f>
        <v>13407</v>
      </c>
      <c r="F22" s="14">
        <f>2755+871</f>
        <v>3626</v>
      </c>
      <c r="G22" s="14">
        <v>2</v>
      </c>
      <c r="H22" s="14">
        <v>6332</v>
      </c>
      <c r="I22" s="14">
        <v>11304</v>
      </c>
      <c r="J22" s="14">
        <f>H22+I22-C22-E22</f>
        <v>0</v>
      </c>
      <c r="K22" s="14">
        <f>C22-H22</f>
        <v>-2103</v>
      </c>
      <c r="L22" s="14"/>
    </row>
    <row r="23" ht="20.05" customHeight="1">
      <c r="B23" s="25"/>
      <c r="C23" s="13">
        <v>2695</v>
      </c>
      <c r="D23" s="14">
        <v>17884</v>
      </c>
      <c r="E23" s="14">
        <f>D23-C23</f>
        <v>15189</v>
      </c>
      <c r="F23" s="14">
        <f>12+3315+937</f>
        <v>4264</v>
      </c>
      <c r="G23" s="14">
        <f>8+13</f>
        <v>21</v>
      </c>
      <c r="H23" s="14">
        <v>5485</v>
      </c>
      <c r="I23" s="14">
        <v>12399</v>
      </c>
      <c r="J23" s="14">
        <f>H23+I23-C23-E23</f>
        <v>0</v>
      </c>
      <c r="K23" s="14">
        <f>C23-H23</f>
        <v>-2790</v>
      </c>
      <c r="L23" s="32"/>
    </row>
    <row r="24" ht="20.05" customHeight="1">
      <c r="B24" s="26">
        <v>2021</v>
      </c>
      <c r="C24" s="13">
        <v>12173</v>
      </c>
      <c r="D24" s="14">
        <v>27582</v>
      </c>
      <c r="E24" s="14">
        <f>D24-C24</f>
        <v>15409</v>
      </c>
      <c r="F24" s="14">
        <f>15+3392+957</f>
        <v>4364</v>
      </c>
      <c r="G24" s="14">
        <f>8+12</f>
        <v>20</v>
      </c>
      <c r="H24" s="14">
        <v>5236</v>
      </c>
      <c r="I24" s="14">
        <v>22346</v>
      </c>
      <c r="J24" s="14">
        <f>H24+I24-C24-E24</f>
        <v>0</v>
      </c>
      <c r="K24" s="14">
        <f>C24-H24</f>
        <v>6937</v>
      </c>
      <c r="L24" s="14"/>
    </row>
    <row r="25" ht="20.05" customHeight="1">
      <c r="B25" s="25"/>
      <c r="C25" s="13">
        <v>8430</v>
      </c>
      <c r="D25" s="14">
        <v>25885</v>
      </c>
      <c r="E25" s="14">
        <f>D25-C25</f>
        <v>17455</v>
      </c>
      <c r="F25" s="14">
        <f>17+3486+977</f>
        <v>4480</v>
      </c>
      <c r="G25" s="14">
        <f>7+11</f>
        <v>18</v>
      </c>
      <c r="H25" s="14">
        <v>3286</v>
      </c>
      <c r="I25" s="14">
        <v>22599</v>
      </c>
      <c r="J25" s="14">
        <f>H25+I25-C25-E25</f>
        <v>0</v>
      </c>
      <c r="K25" s="14">
        <f>C25-H25</f>
        <v>5144</v>
      </c>
      <c r="L25" s="14"/>
    </row>
    <row r="26" ht="20.05" customHeight="1">
      <c r="B26" s="25"/>
      <c r="C26" s="13">
        <v>5885</v>
      </c>
      <c r="D26" s="14">
        <v>27206</v>
      </c>
      <c r="E26" s="14">
        <f>D26-C26</f>
        <v>21321</v>
      </c>
      <c r="F26" s="14">
        <f>F25+'Sales'!E25</f>
        <v>4533.7</v>
      </c>
      <c r="G26" s="14">
        <f>7+9</f>
        <v>16</v>
      </c>
      <c r="H26" s="14">
        <v>2934</v>
      </c>
      <c r="I26" s="14">
        <v>24272</v>
      </c>
      <c r="J26" s="14">
        <f>H26+I26-C26-E26</f>
        <v>0</v>
      </c>
      <c r="K26" s="14">
        <f>C26-H26</f>
        <v>2951</v>
      </c>
      <c r="L26" s="14"/>
    </row>
    <row r="27" ht="20.05" customHeight="1">
      <c r="B27" s="25"/>
      <c r="C27" s="13">
        <v>7383</v>
      </c>
      <c r="D27" s="14">
        <v>38168</v>
      </c>
      <c r="E27" s="14">
        <f>D27-C27</f>
        <v>30785</v>
      </c>
      <c r="F27" s="14">
        <f>3792+29+1064</f>
        <v>4885</v>
      </c>
      <c r="G27" s="14">
        <f>9+8</f>
        <v>17</v>
      </c>
      <c r="H27" s="14">
        <v>4499</v>
      </c>
      <c r="I27" s="14">
        <v>33669</v>
      </c>
      <c r="J27" s="14">
        <f>H27+I27-C27-E27</f>
        <v>0</v>
      </c>
      <c r="K27" s="14">
        <f>C27-H27</f>
        <v>2884</v>
      </c>
      <c r="L27" s="14"/>
    </row>
    <row r="28" ht="20.05" customHeight="1">
      <c r="B28" s="26">
        <v>2022</v>
      </c>
      <c r="C28" s="13">
        <f>C27+21+'Cashflow '!E28+'Cashflow '!F28+'Cashflow '!J28</f>
        <v>6216.5</v>
      </c>
      <c r="D28" s="14">
        <v>42878</v>
      </c>
      <c r="E28" s="14">
        <f>D28-C28</f>
        <v>36661.5</v>
      </c>
      <c r="F28" s="14">
        <f>1084+33+3909</f>
        <v>5026</v>
      </c>
      <c r="G28" s="14">
        <f>8+7</f>
        <v>15</v>
      </c>
      <c r="H28" s="14">
        <v>4220</v>
      </c>
      <c r="I28" s="14">
        <v>38658</v>
      </c>
      <c r="J28" s="14">
        <f>H28+I28-C28-E28</f>
        <v>0</v>
      </c>
      <c r="K28" s="14">
        <f>C28-H28</f>
        <v>1996.5</v>
      </c>
      <c r="L28" s="14">
        <v>3830.371286575</v>
      </c>
    </row>
    <row r="29" ht="20.05" customHeight="1">
      <c r="B29" s="25"/>
      <c r="C29" s="13"/>
      <c r="D29" s="14"/>
      <c r="E29" s="14"/>
      <c r="F29" s="14"/>
      <c r="G29" s="14"/>
      <c r="H29" s="14"/>
      <c r="I29" s="14"/>
      <c r="J29" s="14"/>
      <c r="K29" s="14"/>
      <c r="L29" s="14">
        <f>'Model'!F33</f>
        <v>-3508.7103445</v>
      </c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3" customWidth="1"/>
    <col min="2" max="5" width="9.9375" style="33" customWidth="1"/>
    <col min="6" max="16384" width="16.3516" style="33" customWidth="1"/>
  </cols>
  <sheetData>
    <row r="1" ht="30.75" customHeight="1"/>
    <row r="2" ht="27.65" customHeight="1">
      <c r="B2" t="s" s="2">
        <v>57</v>
      </c>
      <c r="C2" s="2"/>
      <c r="D2" s="2"/>
      <c r="E2" s="2"/>
    </row>
    <row r="3" ht="32.25" customHeight="1">
      <c r="B3" s="4"/>
      <c r="C3" t="s" s="5">
        <v>58</v>
      </c>
      <c r="D3" t="s" s="5">
        <v>59</v>
      </c>
      <c r="E3" t="s" s="5">
        <v>60</v>
      </c>
    </row>
    <row r="4" ht="20.25" customHeight="1">
      <c r="B4" s="22">
        <v>2016</v>
      </c>
      <c r="C4" s="23">
        <v>909.630676</v>
      </c>
      <c r="D4" s="24"/>
      <c r="E4" s="24"/>
    </row>
    <row r="5" ht="20.05" customHeight="1">
      <c r="B5" s="25"/>
      <c r="C5" s="13">
        <v>892.347656</v>
      </c>
      <c r="D5" s="14"/>
      <c r="E5" s="14"/>
    </row>
    <row r="6" ht="20.05" customHeight="1">
      <c r="B6" s="25"/>
      <c r="C6" s="13">
        <v>813.027832</v>
      </c>
      <c r="D6" s="14"/>
      <c r="E6" s="14"/>
    </row>
    <row r="7" ht="20.05" customHeight="1">
      <c r="B7" s="25"/>
      <c r="C7" s="13">
        <v>879.497009</v>
      </c>
      <c r="D7" s="14"/>
      <c r="E7" s="14"/>
    </row>
    <row r="8" ht="20.05" customHeight="1">
      <c r="B8" s="26">
        <v>2017</v>
      </c>
      <c r="C8" s="13">
        <v>1083.222168</v>
      </c>
      <c r="D8" s="14"/>
      <c r="E8" s="14"/>
    </row>
    <row r="9" ht="20.05" customHeight="1">
      <c r="B9" s="25"/>
      <c r="C9" s="13">
        <v>925.916077</v>
      </c>
      <c r="D9" s="14"/>
      <c r="E9" s="14"/>
    </row>
    <row r="10" ht="20.05" customHeight="1">
      <c r="B10" s="25"/>
      <c r="C10" s="13">
        <v>906.003906</v>
      </c>
      <c r="D10" s="14"/>
      <c r="E10" s="14"/>
    </row>
    <row r="11" ht="20.05" customHeight="1">
      <c r="B11" s="25"/>
      <c r="C11" s="13">
        <v>870.561096</v>
      </c>
      <c r="D11" s="14"/>
      <c r="E11" s="14"/>
    </row>
    <row r="12" ht="20.05" customHeight="1">
      <c r="B12" s="26">
        <v>2018</v>
      </c>
      <c r="C12" s="13">
        <v>893.011108</v>
      </c>
      <c r="D12" s="14"/>
      <c r="E12" s="14"/>
    </row>
    <row r="13" ht="20.05" customHeight="1">
      <c r="B13" s="25"/>
      <c r="C13" s="13">
        <v>885</v>
      </c>
      <c r="D13" s="14"/>
      <c r="E13" s="14"/>
    </row>
    <row r="14" ht="20.05" customHeight="1">
      <c r="B14" s="25"/>
      <c r="C14" s="13">
        <v>882.5</v>
      </c>
      <c r="D14" s="14"/>
      <c r="E14" s="14"/>
    </row>
    <row r="15" ht="20.05" customHeight="1">
      <c r="B15" s="25"/>
      <c r="C15" s="13">
        <v>845</v>
      </c>
      <c r="D15" s="14"/>
      <c r="E15" s="14"/>
    </row>
    <row r="16" ht="20.05" customHeight="1">
      <c r="B16" s="26">
        <v>2019</v>
      </c>
      <c r="C16" s="13">
        <v>790</v>
      </c>
      <c r="D16" s="14"/>
      <c r="E16" s="14"/>
    </row>
    <row r="17" ht="20.05" customHeight="1">
      <c r="B17" s="25"/>
      <c r="C17" s="13">
        <v>695</v>
      </c>
      <c r="D17" s="14"/>
      <c r="E17" s="14"/>
    </row>
    <row r="18" ht="20.05" customHeight="1">
      <c r="B18" s="25"/>
      <c r="C18" s="13">
        <v>560</v>
      </c>
      <c r="D18" s="14"/>
      <c r="E18" s="14"/>
    </row>
    <row r="19" ht="20.05" customHeight="1">
      <c r="B19" s="25"/>
      <c r="C19" s="13">
        <v>502.5</v>
      </c>
      <c r="D19" s="14"/>
      <c r="E19" s="14"/>
    </row>
    <row r="20" ht="20.05" customHeight="1">
      <c r="B20" s="26">
        <v>2020</v>
      </c>
      <c r="C20" s="13">
        <v>499</v>
      </c>
      <c r="D20" s="14"/>
      <c r="E20" s="14"/>
    </row>
    <row r="21" ht="20.05" customHeight="1">
      <c r="B21" s="25"/>
      <c r="C21" s="13">
        <v>490</v>
      </c>
      <c r="D21" s="14"/>
      <c r="E21" s="14"/>
    </row>
    <row r="22" ht="20.05" customHeight="1">
      <c r="B22" s="25"/>
      <c r="C22" s="13">
        <v>750</v>
      </c>
      <c r="D22" s="14"/>
      <c r="E22" s="14"/>
    </row>
    <row r="23" ht="20.05" customHeight="1">
      <c r="B23" s="25"/>
      <c r="C23" s="13">
        <v>1400</v>
      </c>
      <c r="D23" s="14"/>
      <c r="E23" s="14"/>
    </row>
    <row r="24" ht="20.05" customHeight="1">
      <c r="B24" s="26">
        <v>2021</v>
      </c>
      <c r="C24" s="13">
        <v>2270</v>
      </c>
      <c r="D24" s="34"/>
      <c r="E24" s="34"/>
    </row>
    <row r="25" ht="20.05" customHeight="1">
      <c r="B25" s="25"/>
      <c r="C25" s="13">
        <v>2500</v>
      </c>
      <c r="D25" s="34"/>
      <c r="E25" s="34"/>
    </row>
    <row r="26" ht="20.05" customHeight="1">
      <c r="B26" s="25"/>
      <c r="C26" s="13">
        <v>1740</v>
      </c>
      <c r="D26" s="34"/>
      <c r="E26" s="34"/>
    </row>
    <row r="27" ht="20.05" customHeight="1">
      <c r="B27" s="25"/>
      <c r="C27" s="13">
        <v>2280</v>
      </c>
      <c r="D27" s="34"/>
      <c r="E27" s="14"/>
    </row>
    <row r="28" ht="20.05" customHeight="1">
      <c r="B28" s="26">
        <v>2022</v>
      </c>
      <c r="C28" s="13">
        <v>2450</v>
      </c>
      <c r="D28" s="34">
        <v>1036.201014542480</v>
      </c>
      <c r="E28" s="34"/>
    </row>
    <row r="29" ht="20.05" customHeight="1">
      <c r="B29" s="25"/>
      <c r="C29" s="13">
        <v>2000</v>
      </c>
      <c r="D29" s="34">
        <v>1049.317483081</v>
      </c>
      <c r="E29" s="34"/>
    </row>
    <row r="30" ht="20.05" customHeight="1">
      <c r="B30" s="25"/>
      <c r="C30" s="13"/>
      <c r="D30" s="34">
        <f>'Model'!F46</f>
        <v>879.9433794503381</v>
      </c>
      <c r="E30" s="34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