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Data " sheetId="2" r:id="rId5"/>
  </sheets>
</workbook>
</file>

<file path=xl/sharedStrings.xml><?xml version="1.0" encoding="utf-8"?>
<sst xmlns="http://schemas.openxmlformats.org/spreadsheetml/2006/main" uniqueCount="47">
  <si>
    <t>Model</t>
  </si>
  <si>
    <t>Rpbn</t>
  </si>
  <si>
    <t>4Q 2022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</si>
  <si>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</si>
  <si>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</si>
  <si>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</si>
  <si>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</si>
  <si>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</si>
  <si>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Non cash costs </t>
  </si>
  <si>
    <t xml:space="preserve">Profit </t>
  </si>
  <si>
    <t xml:space="preserve">Operating </t>
  </si>
  <si>
    <t xml:space="preserve">Investment 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</si>
  <si>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</si>
  <si>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</si>
  <si>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</si>
  <si>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</si>
  <si>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</si>
  <si>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</si>
  <si>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</si>
  <si>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 xml:space="preserve">Balance sheet </t>
  </si>
  <si>
    <t xml:space="preserve">Other assets </t>
  </si>
  <si>
    <t xml:space="preserve">Depreciation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</si>
  <si>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</si>
  <si>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</si>
  <si>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</si>
  <si>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</si>
  <si>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</si>
  <si>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 xml:space="preserve">P/assets </t>
  </si>
  <si>
    <t xml:space="preserve">Yield 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</si>
  <si>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</si>
  <si>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</si>
  <si>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</si>
  <si>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</si>
  <si>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</si>
  <si>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</si>
  <si>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</si>
  <si>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</si>
  <si>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>Sales forecast</t>
  </si>
  <si>
    <t>Data</t>
  </si>
  <si>
    <t>Cash</t>
  </si>
  <si>
    <t xml:space="preserve">Assets </t>
  </si>
  <si>
    <t xml:space="preserve">Cashflow costs </t>
  </si>
  <si>
    <t xml:space="preserve">Receipts </t>
  </si>
  <si>
    <t xml:space="preserve">Leases </t>
  </si>
  <si>
    <t xml:space="preserve">Interest </t>
  </si>
  <si>
    <t>EDGE</t>
  </si>
  <si>
    <t xml:space="preserve">Previous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</si>
</sst>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.0%"/>
    <numFmt numFmtId="60" formatCode="#,##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3" borderId="2" applyNumberFormat="1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3" borderId="5" applyNumberFormat="1" applyFont="1" applyFill="1" applyBorder="1" applyAlignment="1" applyProtection="0">
      <alignment horizontal="right" vertical="top" wrapText="1"/>
    </xf>
    <xf numFmtId="0" fontId="2" fillId="3" borderId="5" applyNumberFormat="0" applyFont="1" applyFill="1" applyBorder="1" applyAlignment="1" applyProtection="0">
      <alignment horizontal="right" vertical="top" wrapText="1"/>
    </xf>
    <xf numFmtId="0" fontId="2" fillId="3" borderId="5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577121</xdr:colOff>
      <xdr:row>1</xdr:row>
      <xdr:rowOff>158410</xdr:rowOff>
    </xdr:from>
    <xdr:to>
      <xdr:col>12</xdr:col>
      <xdr:colOff>315921</xdr:colOff>
      <xdr:row>42</xdr:row>
      <xdr:rowOff>174261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768121" y="509565"/>
          <a:ext cx="8451001" cy="1046096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5" width="9.60156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s="4"/>
      <c r="C2" s="4"/>
      <c r="D2" s="4"/>
      <c r="E2" t="s" s="5">
        <v>2</v>
      </c>
    </row>
    <row r="3" ht="20.25" customHeight="1">
      <c r="A3" t="s" s="6">
        <v>3</v>
      </c>
      <c r="B3" s="7">
        <f>AVERAGE('Data '!O8:O11)</f>
        <v>0.09305845631887361</v>
      </c>
      <c r="C3" s="8"/>
      <c r="D3" s="8"/>
      <c r="E3" s="9">
        <f>AVERAGE(B4:E4)</f>
        <v>0.0625</v>
      </c>
    </row>
    <row r="4" ht="20.05" customHeight="1">
      <c r="A4" t="s" s="10">
        <v>4</v>
      </c>
      <c r="B4" s="11">
        <v>-0.01</v>
      </c>
      <c r="C4" s="12">
        <v>0.1</v>
      </c>
      <c r="D4" s="12">
        <v>0.1</v>
      </c>
      <c r="E4" s="13">
        <v>0.06</v>
      </c>
    </row>
    <row r="5" ht="20.05" customHeight="1">
      <c r="A5" t="s" s="10">
        <v>5</v>
      </c>
      <c r="B5" s="14">
        <f>'Data '!L11*(1+B4)</f>
        <v>167.41593</v>
      </c>
      <c r="C5" s="15">
        <f>B5*(1+C4)</f>
        <v>184.157523</v>
      </c>
      <c r="D5" s="15">
        <f>C5*(1+D4)</f>
        <v>202.5732753</v>
      </c>
      <c r="E5" s="15">
        <f>D5*(1+E4)</f>
        <v>214.727671818</v>
      </c>
    </row>
    <row r="6" ht="20.05" customHeight="1">
      <c r="A6" t="s" s="10">
        <v>6</v>
      </c>
      <c r="B6" s="16">
        <f>'Data '!R11</f>
        <v>-0.714677689273655</v>
      </c>
      <c r="C6" s="17">
        <f>B6</f>
        <v>-0.714677689273655</v>
      </c>
      <c r="D6" s="17">
        <f>C6</f>
        <v>-0.714677689273655</v>
      </c>
      <c r="E6" s="17">
        <f>D6</f>
        <v>-0.714677689273655</v>
      </c>
    </row>
    <row r="7" ht="20.05" customHeight="1">
      <c r="A7" t="s" s="10">
        <v>7</v>
      </c>
      <c r="B7" s="14">
        <f>B5*B6</f>
        <v>-119.64843</v>
      </c>
      <c r="C7" s="18">
        <f>C5*C6</f>
        <v>-131.613273</v>
      </c>
      <c r="D7" s="18">
        <f>D5*D6</f>
        <v>-144.7746003</v>
      </c>
      <c r="E7" s="18">
        <f>E5*E6</f>
        <v>-153.461076318</v>
      </c>
    </row>
    <row r="8" ht="20.05" customHeight="1">
      <c r="A8" t="s" s="10">
        <v>8</v>
      </c>
      <c r="B8" s="14">
        <f>-'Data '!P11</f>
        <v>-11.25</v>
      </c>
      <c r="C8" s="15">
        <f>B8</f>
        <v>-11.25</v>
      </c>
      <c r="D8" s="15">
        <f>C8</f>
        <v>-11.25</v>
      </c>
      <c r="E8" s="15">
        <f>D8</f>
        <v>-11.25</v>
      </c>
    </row>
    <row r="9" ht="20.05" customHeight="1">
      <c r="A9" t="s" s="10">
        <v>9</v>
      </c>
      <c r="B9" s="14">
        <f>B5+B7+B8</f>
        <v>36.5175</v>
      </c>
      <c r="C9" s="18">
        <f>C5+C7+C8</f>
        <v>41.29425</v>
      </c>
      <c r="D9" s="18">
        <f>D5+D7+D8</f>
        <v>46.548675</v>
      </c>
      <c r="E9" s="18">
        <f>E5+E7+E8</f>
        <v>50.0165955</v>
      </c>
    </row>
    <row r="10" ht="20.05" customHeight="1">
      <c r="A10" t="s" s="10">
        <v>10</v>
      </c>
      <c r="B10" s="14">
        <f>B5+B7</f>
        <v>47.7675</v>
      </c>
      <c r="C10" s="18">
        <f>C5+C7</f>
        <v>52.54425</v>
      </c>
      <c r="D10" s="18">
        <f>D5+D7</f>
        <v>57.798675</v>
      </c>
      <c r="E10" s="18">
        <f>E5+E7</f>
        <v>61.2665955</v>
      </c>
    </row>
    <row r="11" ht="20.05" customHeight="1">
      <c r="A11" t="s" s="10">
        <v>11</v>
      </c>
      <c r="B11" s="14">
        <f>SUM('Data '!W10:W11)/2</f>
        <v>2.3795</v>
      </c>
      <c r="C11" s="15">
        <f>B11</f>
        <v>2.3795</v>
      </c>
      <c r="D11" s="15">
        <f>C11</f>
        <v>2.3795</v>
      </c>
      <c r="E11" s="15">
        <f>D11</f>
        <v>2.3795</v>
      </c>
    </row>
    <row r="12" ht="20.05" customHeight="1">
      <c r="A12" t="s" s="10">
        <v>12</v>
      </c>
      <c r="B12" s="19">
        <f>-'Data '!G11/20</f>
        <v>-11.95</v>
      </c>
      <c r="C12" s="18">
        <f>-B22/20</f>
        <v>-11.3525</v>
      </c>
      <c r="D12" s="18">
        <f>-C22/20</f>
        <v>-10.784875</v>
      </c>
      <c r="E12" s="18">
        <f>-D22/20</f>
        <v>-10.24563125</v>
      </c>
    </row>
    <row r="13" ht="20.05" customHeight="1">
      <c r="A13" t="s" s="10">
        <v>13</v>
      </c>
      <c r="B13" s="14">
        <f>IF(B9&gt;0,-B9*0.6,0)</f>
        <v>-21.9105</v>
      </c>
      <c r="C13" s="18">
        <f>IF(C9&gt;0,-C9*0.6,0)</f>
        <v>-24.77655</v>
      </c>
      <c r="D13" s="18">
        <f>IF(D9&gt;0,-D9*0.6,0)</f>
        <v>-27.929205</v>
      </c>
      <c r="E13" s="18">
        <f>IF(E9&gt;0,-E9*0.6,0)</f>
        <v>-30.0099573</v>
      </c>
    </row>
    <row r="14" ht="20.05" customHeight="1">
      <c r="A14" t="s" s="10">
        <v>14</v>
      </c>
      <c r="B14" s="14">
        <f>B10+B11+B12+B13</f>
        <v>16.2865</v>
      </c>
      <c r="C14" s="18">
        <f>C10+C11+C12+C13</f>
        <v>18.7947</v>
      </c>
      <c r="D14" s="18">
        <f>D10+D11+D12+D13</f>
        <v>21.464095</v>
      </c>
      <c r="E14" s="18">
        <f>E10+E11+E12+E13</f>
        <v>23.39050695</v>
      </c>
    </row>
    <row r="15" ht="20.05" customHeight="1">
      <c r="A15" t="s" s="10">
        <v>15</v>
      </c>
      <c r="B15" s="19">
        <f>-MIN(0,B14)</f>
        <v>0</v>
      </c>
      <c r="C15" s="20">
        <f>-MIN(B23,C14)</f>
        <v>0</v>
      </c>
      <c r="D15" s="20">
        <f>-MIN(C23,D14)</f>
        <v>0</v>
      </c>
      <c r="E15" s="20">
        <f>-MIN(D23,E14)</f>
        <v>0</v>
      </c>
    </row>
    <row r="16" ht="20.05" customHeight="1">
      <c r="A16" t="s" s="10">
        <v>16</v>
      </c>
      <c r="B16" s="14">
        <f>'Data '!AD11</f>
        <v>336.104</v>
      </c>
      <c r="C16" s="15">
        <f>B18</f>
        <v>352.3905</v>
      </c>
      <c r="D16" s="15">
        <f>C18</f>
        <v>371.1852</v>
      </c>
      <c r="E16" s="15">
        <f>D18</f>
        <v>392.649295</v>
      </c>
    </row>
    <row r="17" ht="20.05" customHeight="1">
      <c r="A17" t="s" s="10">
        <v>17</v>
      </c>
      <c r="B17" s="14">
        <f>B10+B11+B12+B13+B15</f>
        <v>16.2865</v>
      </c>
      <c r="C17" s="18">
        <f>C10+C11+C12+C13+C15</f>
        <v>18.7947</v>
      </c>
      <c r="D17" s="18">
        <f>D10+D11+D12+D13+D15</f>
        <v>21.464095</v>
      </c>
      <c r="E17" s="18">
        <f>E10+E11+E12+E13+E15</f>
        <v>23.39050695</v>
      </c>
    </row>
    <row r="18" ht="20.05" customHeight="1">
      <c r="A18" t="s" s="10">
        <v>18</v>
      </c>
      <c r="B18" s="14">
        <f>B16+B17</f>
        <v>352.3905</v>
      </c>
      <c r="C18" s="15">
        <f>C16+C17</f>
        <v>371.1852</v>
      </c>
      <c r="D18" s="15">
        <f>D16+D17</f>
        <v>392.649295</v>
      </c>
      <c r="E18" s="15">
        <f>E16+E17</f>
        <v>416.03980195</v>
      </c>
    </row>
    <row r="19" ht="20.05" customHeight="1">
      <c r="A19" t="s" s="21">
        <v>19</v>
      </c>
      <c r="B19" s="22"/>
      <c r="C19" s="23"/>
      <c r="D19" s="23"/>
      <c r="E19" s="23"/>
    </row>
    <row r="20" ht="20.05" customHeight="1">
      <c r="A20" t="s" s="10">
        <v>20</v>
      </c>
      <c r="B20" s="24">
        <f>'Data '!E11+'Data '!F11-B11</f>
        <v>1139.5165</v>
      </c>
      <c r="C20" s="15">
        <f>B20-C11</f>
        <v>1137.137</v>
      </c>
      <c r="D20" s="15">
        <f>C20-D11</f>
        <v>1134.7575</v>
      </c>
      <c r="E20" s="15">
        <f>D20-E11</f>
        <v>1132.378</v>
      </c>
    </row>
    <row r="21" ht="20.05" customHeight="1">
      <c r="A21" t="s" s="10">
        <v>21</v>
      </c>
      <c r="B21" s="24">
        <f>'Data '!F11-B8</f>
        <v>218.25</v>
      </c>
      <c r="C21" s="15">
        <f>B21-C8</f>
        <v>229.5</v>
      </c>
      <c r="D21" s="15">
        <f>C21-D8</f>
        <v>240.75</v>
      </c>
      <c r="E21" s="15">
        <f>D21-E8</f>
        <v>252</v>
      </c>
    </row>
    <row r="22" ht="20.05" customHeight="1">
      <c r="A22" t="s" s="10">
        <v>12</v>
      </c>
      <c r="B22" s="24">
        <f>'Data '!G11+B12</f>
        <v>227.05</v>
      </c>
      <c r="C22" s="18">
        <f>B22+C12</f>
        <v>215.6975</v>
      </c>
      <c r="D22" s="18">
        <f>C22+D12</f>
        <v>204.912625</v>
      </c>
      <c r="E22" s="18">
        <f>D22+E12</f>
        <v>194.66699375</v>
      </c>
    </row>
    <row r="23" ht="20.05" customHeight="1">
      <c r="A23" t="s" s="10">
        <v>15</v>
      </c>
      <c r="B23" s="19">
        <f>B15</f>
        <v>0</v>
      </c>
      <c r="C23" s="20">
        <f>B23+C15</f>
        <v>0</v>
      </c>
      <c r="D23" s="20">
        <f>C23+D15</f>
        <v>0</v>
      </c>
      <c r="E23" s="20">
        <f>D23+E15</f>
        <v>0</v>
      </c>
    </row>
    <row r="24" ht="20.05" customHeight="1">
      <c r="A24" t="s" s="10">
        <v>13</v>
      </c>
      <c r="B24" s="14">
        <f>'Data '!H11+B13+B9</f>
        <v>1046.607</v>
      </c>
      <c r="C24" s="15">
        <f>B24+C13+C9</f>
        <v>1063.1247</v>
      </c>
      <c r="D24" s="15">
        <f>C24+D13+D9</f>
        <v>1081.74417</v>
      </c>
      <c r="E24" s="15">
        <f>D24+E13+E9</f>
        <v>1101.7508082</v>
      </c>
    </row>
    <row r="25" ht="20.05" customHeight="1">
      <c r="A25" t="s" s="10">
        <v>22</v>
      </c>
      <c r="B25" s="24">
        <f>B22+B23+B24-B18-(B20-B21)</f>
        <v>0</v>
      </c>
      <c r="C25" s="18">
        <f>C22+C23+C24-C18-(C20-C21)</f>
        <v>0</v>
      </c>
      <c r="D25" s="18">
        <f>D22+D23+D24-D18-(D20-D21)</f>
        <v>0</v>
      </c>
      <c r="E25" s="18">
        <f>E22+E23+E24-E18-(E20-E21)</f>
        <v>0</v>
      </c>
    </row>
    <row r="26" ht="20.05" customHeight="1">
      <c r="A26" t="s" s="10">
        <v>23</v>
      </c>
      <c r="B26" s="24">
        <f>B18-B22-B23</f>
        <v>125.3405</v>
      </c>
      <c r="C26" s="18">
        <f>C18-C22-C23</f>
        <v>155.4877</v>
      </c>
      <c r="D26" s="18">
        <f>D18-D22-D23</f>
        <v>187.73667</v>
      </c>
      <c r="E26" s="18">
        <f>E18-E22-E23</f>
        <v>221.3728082</v>
      </c>
    </row>
    <row r="27" ht="20.05" customHeight="1">
      <c r="A27" t="s" s="21">
        <v>24</v>
      </c>
      <c r="B27" s="22"/>
      <c r="C27" s="23"/>
      <c r="D27" s="23"/>
      <c r="E27" s="23"/>
    </row>
    <row r="28" ht="20.05" customHeight="1">
      <c r="A28" t="s" s="10">
        <v>25</v>
      </c>
      <c r="B28" s="14">
        <f>'Data '!AG11-(B12+B13)</f>
        <v>-337.2805</v>
      </c>
      <c r="C28" s="15">
        <f>B28-(C12+C15+C13)</f>
        <v>-301.15145</v>
      </c>
      <c r="D28" s="15">
        <f>C28-(D12+D15+D13)</f>
        <v>-262.43737</v>
      </c>
      <c r="E28" s="15">
        <f>D28-(E12+E15+E13)</f>
        <v>-222.18178145</v>
      </c>
    </row>
    <row r="29" ht="20.05" customHeight="1">
      <c r="A29" t="s" s="10">
        <v>26</v>
      </c>
      <c r="B29" s="22"/>
      <c r="C29" s="23"/>
      <c r="D29" s="23"/>
      <c r="E29" s="15">
        <v>8202214675200</v>
      </c>
    </row>
    <row r="30" ht="20.05" customHeight="1">
      <c r="A30" t="s" s="10">
        <v>26</v>
      </c>
      <c r="B30" s="22"/>
      <c r="C30" s="23"/>
      <c r="D30" s="23"/>
      <c r="E30" s="15">
        <f>E29/1000000000</f>
        <v>8202.214675200001</v>
      </c>
    </row>
    <row r="31" ht="20.05" customHeight="1">
      <c r="A31" t="s" s="10">
        <v>27</v>
      </c>
      <c r="B31" s="22"/>
      <c r="C31" s="23"/>
      <c r="D31" s="23"/>
      <c r="E31" s="25">
        <f>E30/(E18+E20-E21)</f>
        <v>6.32682971713493</v>
      </c>
    </row>
    <row r="32" ht="20.05" customHeight="1">
      <c r="A32" t="s" s="10">
        <v>28</v>
      </c>
      <c r="B32" s="22"/>
      <c r="C32" s="23"/>
      <c r="D32" s="23"/>
      <c r="E32" s="17">
        <f>-(B13+C13+D13+E13)/E30</f>
        <v>0.0127558490533471</v>
      </c>
    </row>
    <row r="33" ht="20.05" customHeight="1">
      <c r="A33" t="s" s="10">
        <v>3</v>
      </c>
      <c r="B33" s="22"/>
      <c r="C33" s="23"/>
      <c r="D33" s="23"/>
      <c r="E33" s="15">
        <f>SUM(B10:E11)</f>
        <v>228.8950205</v>
      </c>
    </row>
    <row r="34" ht="20.05" customHeight="1">
      <c r="A34" t="s" s="10">
        <v>29</v>
      </c>
      <c r="B34" s="22"/>
      <c r="C34" s="23"/>
      <c r="D34" s="23"/>
      <c r="E34" s="15">
        <f>'Data '!E11/E33</f>
        <v>4.08438767238276</v>
      </c>
    </row>
    <row r="35" ht="20.05" customHeight="1">
      <c r="A35" t="s" s="10">
        <v>24</v>
      </c>
      <c r="B35" s="22"/>
      <c r="C35" s="23"/>
      <c r="D35" s="23"/>
      <c r="E35" s="15">
        <f>E30/E33</f>
        <v>35.833958542580</v>
      </c>
    </row>
    <row r="36" ht="20.05" customHeight="1">
      <c r="A36" t="s" s="10">
        <v>30</v>
      </c>
      <c r="B36" s="22"/>
      <c r="C36" s="23"/>
      <c r="D36" s="23"/>
      <c r="E36" s="20">
        <v>32</v>
      </c>
    </row>
    <row r="37" ht="20.05" customHeight="1">
      <c r="A37" t="s" s="10">
        <v>31</v>
      </c>
      <c r="B37" s="22"/>
      <c r="C37" s="23"/>
      <c r="D37" s="23"/>
      <c r="E37" s="18">
        <f>E33*E36</f>
        <v>7324.640656</v>
      </c>
    </row>
    <row r="38" ht="20.05" customHeight="1">
      <c r="A38" t="s" s="10">
        <v>32</v>
      </c>
      <c r="B38" s="22"/>
      <c r="C38" s="23"/>
      <c r="D38" s="23"/>
      <c r="E38" s="15">
        <f>E30/E40</f>
        <v>0.404049984</v>
      </c>
    </row>
    <row r="39" ht="20.05" customHeight="1">
      <c r="A39" t="s" s="10">
        <v>33</v>
      </c>
      <c r="B39" s="22"/>
      <c r="C39" s="23"/>
      <c r="D39" s="23"/>
      <c r="E39" s="15">
        <f>E37/E38</f>
        <v>18128.0558001458</v>
      </c>
    </row>
    <row r="40" ht="20.05" customHeight="1">
      <c r="A40" t="s" s="10">
        <v>34</v>
      </c>
      <c r="B40" s="22"/>
      <c r="C40" s="23"/>
      <c r="D40" s="23"/>
      <c r="E40" s="15">
        <v>20300</v>
      </c>
    </row>
    <row r="41" ht="20.05" customHeight="1">
      <c r="A41" t="s" s="10">
        <v>35</v>
      </c>
      <c r="B41" s="22"/>
      <c r="C41" s="23"/>
      <c r="D41" s="23"/>
      <c r="E41" s="17">
        <f>E39/E40-1</f>
        <v>-0.10699232511597</v>
      </c>
    </row>
    <row r="42" ht="20.05" customHeight="1">
      <c r="A42" t="s" s="10">
        <v>36</v>
      </c>
      <c r="B42" s="22"/>
      <c r="C42" s="23"/>
      <c r="D42" s="23"/>
      <c r="E42" s="17">
        <f>'Data '!L11/('Data '!L7/4)-1</f>
        <v>0.422044135361898</v>
      </c>
    </row>
    <row r="43" ht="20.05" customHeight="1">
      <c r="A43" t="s" s="10">
        <v>37</v>
      </c>
      <c r="B43" s="22"/>
      <c r="C43" s="23"/>
      <c r="D43" s="23"/>
      <c r="E43" s="17">
        <f>'Data '!N11/'Data '!M11-1</f>
        <v>0.0727472546967305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AK1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" style="26" customWidth="1"/>
    <col min="2" max="37" width="9.64062" style="26" customWidth="1"/>
    <col min="38" max="16384" width="16.3516" style="26" customWidth="1"/>
  </cols>
  <sheetData>
    <row r="1" ht="30" customHeight="1"/>
    <row r="2" ht="27.65" customHeight="1">
      <c r="B2" t="s" s="2">
        <v>38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ht="32.25" customHeight="1">
      <c r="B3" t="s" s="27">
        <v>1</v>
      </c>
      <c r="C3" t="s" s="3">
        <v>39</v>
      </c>
      <c r="D3" t="s" s="3">
        <v>40</v>
      </c>
      <c r="E3" t="s" s="3">
        <v>20</v>
      </c>
      <c r="F3" t="s" s="3">
        <v>21</v>
      </c>
      <c r="G3" t="s" s="3">
        <v>12</v>
      </c>
      <c r="H3" t="s" s="3">
        <v>13</v>
      </c>
      <c r="I3" t="s" s="3">
        <v>22</v>
      </c>
      <c r="J3" t="s" s="3">
        <v>23</v>
      </c>
      <c r="K3" t="s" s="3">
        <v>30</v>
      </c>
      <c r="L3" t="s" s="3">
        <v>5</v>
      </c>
      <c r="M3" t="s" s="3">
        <v>5</v>
      </c>
      <c r="N3" t="s" s="3">
        <v>30</v>
      </c>
      <c r="O3" t="s" s="3">
        <v>4</v>
      </c>
      <c r="P3" t="s" s="3">
        <v>8</v>
      </c>
      <c r="Q3" t="s" s="3">
        <v>9</v>
      </c>
      <c r="R3" t="s" s="3">
        <v>6</v>
      </c>
      <c r="S3" t="s" s="3">
        <v>30</v>
      </c>
      <c r="T3" t="s" s="3">
        <v>41</v>
      </c>
      <c r="U3" t="s" s="3">
        <v>42</v>
      </c>
      <c r="V3" t="s" s="3">
        <v>10</v>
      </c>
      <c r="W3" t="s" s="3">
        <v>11</v>
      </c>
      <c r="X3" t="s" s="3">
        <v>43</v>
      </c>
      <c r="Y3" t="s" s="3">
        <v>44</v>
      </c>
      <c r="Z3" t="s" s="3">
        <v>12</v>
      </c>
      <c r="AA3" t="s" s="3">
        <v>13</v>
      </c>
      <c r="AB3" t="s" s="3">
        <v>16</v>
      </c>
      <c r="AC3" t="s" s="3">
        <v>17</v>
      </c>
      <c r="AD3" t="s" s="3">
        <v>18</v>
      </c>
      <c r="AE3" t="s" s="3">
        <v>3</v>
      </c>
      <c r="AF3" t="s" s="3">
        <v>30</v>
      </c>
      <c r="AG3" t="s" s="3">
        <v>25</v>
      </c>
      <c r="AH3" t="s" s="3">
        <v>30</v>
      </c>
      <c r="AI3" t="s" s="3">
        <v>45</v>
      </c>
      <c r="AJ3" t="s" s="3">
        <v>33</v>
      </c>
      <c r="AK3" t="s" s="3">
        <v>46</v>
      </c>
    </row>
    <row r="4" ht="20.25" customHeight="1">
      <c r="B4" s="28">
        <v>2017</v>
      </c>
      <c r="C4" s="29">
        <f>AD4</f>
        <v>89.651</v>
      </c>
      <c r="D4" s="30">
        <v>246.422</v>
      </c>
      <c r="E4" s="30">
        <f>D4-AD4</f>
        <v>156.771</v>
      </c>
      <c r="F4" s="31">
        <v>157.4</v>
      </c>
      <c r="G4" s="30">
        <v>104.966</v>
      </c>
      <c r="H4" s="31">
        <f>D4-G4</f>
        <v>141.456</v>
      </c>
      <c r="I4" s="30">
        <f>G4+H4-AD4-E4</f>
        <v>0</v>
      </c>
      <c r="J4" s="30">
        <f>AD4-G4</f>
        <v>-15.315</v>
      </c>
      <c r="K4" s="32"/>
      <c r="L4" s="30">
        <v>156.195</v>
      </c>
      <c r="M4" s="30">
        <f>L4/4</f>
        <v>39.04875</v>
      </c>
      <c r="N4" s="30"/>
      <c r="O4" s="32"/>
      <c r="P4" s="30">
        <v>22.95</v>
      </c>
      <c r="Q4" s="30">
        <v>38</v>
      </c>
      <c r="R4" s="32">
        <f>(P4+Q4-L4)/L4</f>
        <v>-0.609782643490509</v>
      </c>
      <c r="S4" s="30"/>
      <c r="T4" s="32">
        <f>(V4-U4)/U4</f>
        <v>-0.63411075931223</v>
      </c>
      <c r="U4" s="30">
        <v>156.971</v>
      </c>
      <c r="V4" s="30">
        <v>57.434</v>
      </c>
      <c r="W4" s="30">
        <v>-25.24</v>
      </c>
      <c r="X4" s="30"/>
      <c r="Y4" s="30"/>
      <c r="Z4" s="30"/>
      <c r="AA4" s="30">
        <v>-108.585</v>
      </c>
      <c r="AB4" s="30">
        <f>137.696+28.346</f>
        <v>166.042</v>
      </c>
      <c r="AC4" s="30">
        <f>V4+W4+X4+Y4+Z4+AA4</f>
        <v>-76.39100000000001</v>
      </c>
      <c r="AD4" s="30">
        <f>AB4+AC4</f>
        <v>89.651</v>
      </c>
      <c r="AE4" s="30">
        <f>SUM(V4:Y4)/4</f>
        <v>8.048500000000001</v>
      </c>
      <c r="AF4" s="30"/>
      <c r="AG4" s="30">
        <f>-(Z4+AA4)</f>
        <v>108.585</v>
      </c>
      <c r="AH4" s="30"/>
      <c r="AI4" s="30"/>
      <c r="AJ4" s="30"/>
      <c r="AK4" s="30"/>
    </row>
    <row r="5" ht="20.05" customHeight="1">
      <c r="B5" s="33">
        <v>2018</v>
      </c>
      <c r="C5" s="14">
        <f>AD5</f>
        <v>100.258</v>
      </c>
      <c r="D5" s="15">
        <v>329.045</v>
      </c>
      <c r="E5" s="15">
        <f>D5-AD5</f>
        <v>228.787</v>
      </c>
      <c r="F5" s="18">
        <v>182.1</v>
      </c>
      <c r="G5" s="15">
        <v>112.045</v>
      </c>
      <c r="H5" s="18">
        <f>D5-G5</f>
        <v>217</v>
      </c>
      <c r="I5" s="15">
        <f>G5+H5-AD5-E5</f>
        <v>0</v>
      </c>
      <c r="J5" s="15">
        <f>AD5-G5</f>
        <v>-11.787</v>
      </c>
      <c r="K5" s="17"/>
      <c r="L5" s="15">
        <v>223.825</v>
      </c>
      <c r="M5" s="15">
        <f>L5/4</f>
        <v>55.95625</v>
      </c>
      <c r="N5" s="15"/>
      <c r="O5" s="17">
        <f>(L5/L4-1)/4</f>
        <v>0.108246102628125</v>
      </c>
      <c r="P5" s="18">
        <v>25.04</v>
      </c>
      <c r="Q5" s="15">
        <v>55.307</v>
      </c>
      <c r="R5" s="17">
        <f>(P5+Q5-L5)/L5</f>
        <v>-0.6410275885178151</v>
      </c>
      <c r="S5" s="15"/>
      <c r="T5" s="17">
        <f>(V5-U5)/U5</f>
        <v>-0.6193833941099</v>
      </c>
      <c r="U5" s="15">
        <v>223.222</v>
      </c>
      <c r="V5" s="15">
        <v>84.962</v>
      </c>
      <c r="W5" s="15">
        <v>-84.742</v>
      </c>
      <c r="X5" s="15"/>
      <c r="Y5" s="15"/>
      <c r="Z5" s="15"/>
      <c r="AA5" s="15">
        <v>-0.256</v>
      </c>
      <c r="AB5" s="15">
        <f>AD4+10.643</f>
        <v>100.294</v>
      </c>
      <c r="AC5" s="15">
        <f>V5+W5+X5+Y5+Z5+AA5</f>
        <v>-0.036</v>
      </c>
      <c r="AD5" s="15">
        <f>AB5+AC5</f>
        <v>100.258</v>
      </c>
      <c r="AE5" s="15">
        <f>SUM(V5:Y5)/4</f>
        <v>0.055</v>
      </c>
      <c r="AF5" s="15"/>
      <c r="AG5" s="15">
        <f>-(Z5+AA5)+AG4</f>
        <v>108.841</v>
      </c>
      <c r="AH5" s="15"/>
      <c r="AI5" s="15"/>
      <c r="AJ5" s="15"/>
      <c r="AK5" s="15"/>
    </row>
    <row r="6" ht="20.05" customHeight="1">
      <c r="B6" s="33">
        <v>2019</v>
      </c>
      <c r="C6" s="14">
        <f>AD6</f>
        <v>198.7</v>
      </c>
      <c r="D6" s="15">
        <v>458.024</v>
      </c>
      <c r="E6" s="15">
        <f>D6-AD6</f>
        <v>259.324</v>
      </c>
      <c r="F6" s="18">
        <v>206.2</v>
      </c>
      <c r="G6" s="15">
        <v>140.209</v>
      </c>
      <c r="H6" s="18">
        <f>D6-G6</f>
        <v>317.815</v>
      </c>
      <c r="I6" s="15">
        <f>G6+H6-AD6-E6</f>
        <v>0</v>
      </c>
      <c r="J6" s="15">
        <f>AD6-G6</f>
        <v>58.491</v>
      </c>
      <c r="K6" s="17"/>
      <c r="L6" s="15">
        <v>344.752</v>
      </c>
      <c r="M6" s="15">
        <f>L6/4</f>
        <v>86.188</v>
      </c>
      <c r="N6" s="15"/>
      <c r="O6" s="17">
        <f>(L6/L5-1)/4</f>
        <v>0.135068692058528</v>
      </c>
      <c r="P6" s="18">
        <v>25.5</v>
      </c>
      <c r="Q6" s="15">
        <v>86.82299999999999</v>
      </c>
      <c r="R6" s="17">
        <f>(P6+Q6-L6)/L6</f>
        <v>-0.674191882860723</v>
      </c>
      <c r="S6" s="15"/>
      <c r="T6" s="17">
        <f>(V6-U6)/U6</f>
        <v>-0.628391018246801</v>
      </c>
      <c r="U6" s="15">
        <v>334.634</v>
      </c>
      <c r="V6" s="15">
        <v>124.353</v>
      </c>
      <c r="W6" s="15">
        <v>-36.412</v>
      </c>
      <c r="X6" s="15"/>
      <c r="Y6" s="15"/>
      <c r="Z6" s="15"/>
      <c r="AA6" s="15">
        <v>0.008999999999999999</v>
      </c>
      <c r="AB6" s="15">
        <f>AD5+10.492</f>
        <v>110.75</v>
      </c>
      <c r="AC6" s="15">
        <f>V6+W6+X6+Y6+Z6+AA6</f>
        <v>87.95</v>
      </c>
      <c r="AD6" s="15">
        <f>AB6+AC6</f>
        <v>198.7</v>
      </c>
      <c r="AE6" s="15">
        <f>SUM(V6:Y6)/4</f>
        <v>21.98525</v>
      </c>
      <c r="AF6" s="15"/>
      <c r="AG6" s="15">
        <f>-(Z6+AA6)+AG5</f>
        <v>108.832</v>
      </c>
      <c r="AH6" s="15"/>
      <c r="AI6" s="15"/>
      <c r="AJ6" s="15"/>
      <c r="AK6" s="15"/>
    </row>
    <row r="7" ht="20.05" customHeight="1">
      <c r="B7" s="33">
        <v>2020</v>
      </c>
      <c r="C7" s="14">
        <f>AD7</f>
        <v>105.631</v>
      </c>
      <c r="D7" s="15">
        <v>534.849</v>
      </c>
      <c r="E7" s="15">
        <f>D7-AD7</f>
        <v>429.218</v>
      </c>
      <c r="F7" s="18">
        <v>161</v>
      </c>
      <c r="G7" s="15">
        <v>224.386</v>
      </c>
      <c r="H7" s="18">
        <f>D7-G7</f>
        <v>310.463</v>
      </c>
      <c r="I7" s="15">
        <f>G7+H7-AD7-E7</f>
        <v>0</v>
      </c>
      <c r="J7" s="15">
        <f>AD7-G7</f>
        <v>-118.755</v>
      </c>
      <c r="K7" s="17"/>
      <c r="L7" s="15">
        <v>475.673</v>
      </c>
      <c r="M7" s="15">
        <f>L7/4</f>
        <v>118.91825</v>
      </c>
      <c r="N7" s="15"/>
      <c r="O7" s="17">
        <f>(L7/L6-1)/4</f>
        <v>0.0949385355269875</v>
      </c>
      <c r="P7" s="18">
        <v>21.8</v>
      </c>
      <c r="Q7" s="15">
        <v>122.018</v>
      </c>
      <c r="R7" s="17">
        <f>(P7+Q7-L7)/L7</f>
        <v>-0.697653640210817</v>
      </c>
      <c r="S7" s="15"/>
      <c r="T7" s="17">
        <f>(V7-U7)/U7</f>
        <v>-0.52215221118202</v>
      </c>
      <c r="U7" s="15">
        <v>445.644</v>
      </c>
      <c r="V7" s="15">
        <v>212.95</v>
      </c>
      <c r="W7" s="15">
        <v>-157.061</v>
      </c>
      <c r="X7" s="15">
        <v>-2.058</v>
      </c>
      <c r="Y7" s="15"/>
      <c r="Z7" s="15"/>
      <c r="AA7" s="15">
        <v>-116</v>
      </c>
      <c r="AB7" s="15">
        <f>AD6-30.9</f>
        <v>167.8</v>
      </c>
      <c r="AC7" s="15">
        <f>V7+W7+X7+Y7+Z7+AA7</f>
        <v>-62.169</v>
      </c>
      <c r="AD7" s="15">
        <f>AB7+AC7</f>
        <v>105.631</v>
      </c>
      <c r="AE7" s="15">
        <f>SUM(V7:Y7)/4</f>
        <v>13.45775</v>
      </c>
      <c r="AF7" s="15"/>
      <c r="AG7" s="15">
        <f>-(Z7+AA7)+AG6</f>
        <v>224.832</v>
      </c>
      <c r="AH7" s="23"/>
      <c r="AI7" s="23"/>
      <c r="AJ7" s="15"/>
      <c r="AK7" s="15"/>
    </row>
    <row r="8" ht="20.05" customHeight="1">
      <c r="B8" s="33">
        <v>2021</v>
      </c>
      <c r="C8" s="14">
        <f>AD8</f>
        <v>594.319</v>
      </c>
      <c r="D8" s="15">
        <v>1242.659</v>
      </c>
      <c r="E8" s="15">
        <f>D8-AD8</f>
        <v>648.34</v>
      </c>
      <c r="F8" s="18">
        <v>173.3</v>
      </c>
      <c r="G8" s="15">
        <v>314.401</v>
      </c>
      <c r="H8" s="18">
        <f>D8-G8</f>
        <v>928.258</v>
      </c>
      <c r="I8" s="15">
        <f>G8+H8-AD8-E8</f>
        <v>0</v>
      </c>
      <c r="J8" s="15">
        <f>AD8-G8</f>
        <v>279.918</v>
      </c>
      <c r="K8" s="23"/>
      <c r="L8" s="15">
        <v>126.44</v>
      </c>
      <c r="M8" s="15">
        <f>L8</f>
        <v>126.44</v>
      </c>
      <c r="N8" s="15"/>
      <c r="O8" s="17">
        <f>(L8/107.856-1)/4</f>
        <v>0.0430759531226821</v>
      </c>
      <c r="P8" s="18">
        <v>11.25</v>
      </c>
      <c r="Q8" s="15">
        <v>20.933</v>
      </c>
      <c r="R8" s="17">
        <f>(Q8+P8-L8)/L8</f>
        <v>-0.745468206263841</v>
      </c>
      <c r="S8" s="15"/>
      <c r="T8" s="17">
        <f>(V8-U8)/U8</f>
        <v>-0.949920137609043</v>
      </c>
      <c r="U8" s="15">
        <v>122.085</v>
      </c>
      <c r="V8" s="15">
        <v>6.114</v>
      </c>
      <c r="W8" s="15">
        <v>-112.899</v>
      </c>
      <c r="X8" s="15">
        <v>-0.5</v>
      </c>
      <c r="Y8" s="15"/>
      <c r="Z8" s="15"/>
      <c r="AA8" s="15">
        <v>595.973</v>
      </c>
      <c r="AB8" s="15">
        <f>AD7</f>
        <v>105.631</v>
      </c>
      <c r="AC8" s="15">
        <f>V8+W8+X8+Y8+Z8+AA8</f>
        <v>488.688</v>
      </c>
      <c r="AD8" s="15">
        <f>AB8+AC8</f>
        <v>594.319</v>
      </c>
      <c r="AE8" s="15">
        <f>SUM(V8:Y8)/2</f>
        <v>-53.6425</v>
      </c>
      <c r="AF8" s="15"/>
      <c r="AG8" s="15">
        <f>-(Z8+AA8)+AG7</f>
        <v>-371.141</v>
      </c>
      <c r="AH8" s="15"/>
      <c r="AI8" s="15">
        <v>11225</v>
      </c>
      <c r="AJ8" s="15"/>
      <c r="AK8" s="15"/>
    </row>
    <row r="9" ht="20.05" customHeight="1">
      <c r="B9" s="34"/>
      <c r="C9" s="14">
        <f>AD9</f>
        <v>308.193</v>
      </c>
      <c r="D9" s="15">
        <v>1293.017</v>
      </c>
      <c r="E9" s="15">
        <f>D9-AD9</f>
        <v>984.824</v>
      </c>
      <c r="F9" s="18">
        <v>184.4</v>
      </c>
      <c r="G9" s="18">
        <v>329.892</v>
      </c>
      <c r="H9" s="18">
        <f>D9-G9</f>
        <v>963.125</v>
      </c>
      <c r="I9" s="15">
        <f>G9+H9-AD9-E9</f>
        <v>0</v>
      </c>
      <c r="J9" s="15">
        <f>AD9-G9</f>
        <v>-21.699</v>
      </c>
      <c r="K9" s="23"/>
      <c r="L9" s="15">
        <f>290.354-L8</f>
        <v>163.914</v>
      </c>
      <c r="M9" s="15">
        <f>L9</f>
        <v>163.914</v>
      </c>
      <c r="N9" s="23"/>
      <c r="O9" s="17">
        <f>M9/M8-1</f>
        <v>0.296377728566909</v>
      </c>
      <c r="P9" s="15">
        <v>11.25</v>
      </c>
      <c r="Q9" s="15">
        <f>55.219-Q8</f>
        <v>34.286</v>
      </c>
      <c r="R9" s="17">
        <f>(Q9+P9-L9)/L9</f>
        <v>-0.722195785594885</v>
      </c>
      <c r="S9" s="15"/>
      <c r="T9" s="17">
        <f>(V9-U9)/U9</f>
        <v>-0.752618271467934</v>
      </c>
      <c r="U9" s="15">
        <f>280.682-U8</f>
        <v>158.597</v>
      </c>
      <c r="V9" s="15">
        <f>45.348-V8</f>
        <v>39.234</v>
      </c>
      <c r="W9" s="15">
        <f>-437.759-W8</f>
        <v>-324.86</v>
      </c>
      <c r="X9" s="15">
        <v>-0.5</v>
      </c>
      <c r="Y9" s="15"/>
      <c r="Z9" s="15"/>
      <c r="AA9" s="15">
        <f>595.973-AA8</f>
        <v>0</v>
      </c>
      <c r="AB9" s="15">
        <f>AD8</f>
        <v>594.319</v>
      </c>
      <c r="AC9" s="15">
        <f>V9+W9+X9+Y9+Z9+AA9</f>
        <v>-286.126</v>
      </c>
      <c r="AD9" s="15">
        <f>AB9+AC9</f>
        <v>308.193</v>
      </c>
      <c r="AE9" s="15">
        <f>SUM(V9:Y9)</f>
        <v>-286.126</v>
      </c>
      <c r="AF9" s="15"/>
      <c r="AG9" s="15">
        <f>-(Z9+AA9)+AG8</f>
        <v>-371.141</v>
      </c>
      <c r="AH9" s="15"/>
      <c r="AI9" s="15">
        <v>39225</v>
      </c>
      <c r="AJ9" s="15"/>
      <c r="AK9" s="15"/>
    </row>
    <row r="10" ht="20.05" customHeight="1">
      <c r="B10" s="35"/>
      <c r="C10" s="14">
        <f>AD10</f>
        <v>295.334</v>
      </c>
      <c r="D10" s="15">
        <v>1295.111</v>
      </c>
      <c r="E10" s="15">
        <f>D10-AD10</f>
        <v>999.777</v>
      </c>
      <c r="F10" s="18">
        <v>197.49</v>
      </c>
      <c r="G10" s="18">
        <v>300.201</v>
      </c>
      <c r="H10" s="18">
        <f>D10-G10</f>
        <v>994.91</v>
      </c>
      <c r="I10" s="15">
        <f>G10+H10-AD10-E10</f>
        <v>0</v>
      </c>
      <c r="J10" s="15">
        <f>AD10-G10</f>
        <v>-4.867</v>
      </c>
      <c r="K10" s="23"/>
      <c r="L10" s="15">
        <f>450.893-L9-L8</f>
        <v>160.539</v>
      </c>
      <c r="M10" s="15">
        <f>L10</f>
        <v>160.539</v>
      </c>
      <c r="N10" s="23"/>
      <c r="O10" s="17">
        <f>M10/M9-1</f>
        <v>-0.0205900655221641</v>
      </c>
      <c r="P10" s="15">
        <v>11.25</v>
      </c>
      <c r="Q10" s="15">
        <f>87-Q9-Q8</f>
        <v>31.781</v>
      </c>
      <c r="R10" s="17">
        <f>(Q10+P10-L10)/L10</f>
        <v>-0.731959212403217</v>
      </c>
      <c r="S10" s="15"/>
      <c r="T10" s="17">
        <f>(V10-U10)/U10</f>
        <v>-0.835966465784143</v>
      </c>
      <c r="U10" s="15">
        <f>437.656-U9-U8</f>
        <v>156.974</v>
      </c>
      <c r="V10" s="15">
        <f>71.097-V9-V8</f>
        <v>25.749</v>
      </c>
      <c r="W10" s="15">
        <f>-475.867-W9-W8</f>
        <v>-38.108</v>
      </c>
      <c r="X10" s="15">
        <v>-0.5</v>
      </c>
      <c r="Y10" s="15"/>
      <c r="Z10" s="15"/>
      <c r="AA10" s="15">
        <f>595.973-AA9-AA8</f>
        <v>0</v>
      </c>
      <c r="AB10" s="15">
        <f>AD9</f>
        <v>308.193</v>
      </c>
      <c r="AC10" s="15">
        <f>V10+W10+X10+Y10+Z10+AA10</f>
        <v>-12.859</v>
      </c>
      <c r="AD10" s="15">
        <f>AB10+AC10</f>
        <v>295.334</v>
      </c>
      <c r="AE10" s="15">
        <f>SUM(V10:Y10)</f>
        <v>-12.859</v>
      </c>
      <c r="AF10" s="15"/>
      <c r="AG10" s="15">
        <f>-(Z10+AA10)+AG9</f>
        <v>-371.141</v>
      </c>
      <c r="AH10" s="15"/>
      <c r="AI10" s="15">
        <v>26375</v>
      </c>
      <c r="AJ10" s="15"/>
      <c r="AK10" s="15"/>
    </row>
    <row r="11" ht="20.05" customHeight="1">
      <c r="B11" s="34"/>
      <c r="C11" s="14">
        <f>AD11</f>
        <v>336.104</v>
      </c>
      <c r="D11" s="15">
        <v>1271</v>
      </c>
      <c r="E11" s="15">
        <f>D11-AD11</f>
        <v>934.896</v>
      </c>
      <c r="F11" s="18">
        <v>207</v>
      </c>
      <c r="G11" s="20">
        <v>239</v>
      </c>
      <c r="H11" s="18">
        <f>D11-G11</f>
        <v>1032</v>
      </c>
      <c r="I11" s="15">
        <f>G11+H11-AD11-E11</f>
        <v>0</v>
      </c>
      <c r="J11" s="15">
        <f>AD11-G11</f>
        <v>97.104</v>
      </c>
      <c r="K11" s="15">
        <f>J11</f>
        <v>97.104</v>
      </c>
      <c r="L11" s="15">
        <f>620-L10-L9-L8</f>
        <v>169.107</v>
      </c>
      <c r="M11" s="15">
        <f>L11</f>
        <v>169.107</v>
      </c>
      <c r="N11" s="15">
        <v>181.40907</v>
      </c>
      <c r="O11" s="17">
        <f>M11/M10-1</f>
        <v>0.0533702091080672</v>
      </c>
      <c r="P11" s="15">
        <v>11.25</v>
      </c>
      <c r="Q11" s="15">
        <f>124-Q10-Q9-Q8</f>
        <v>37</v>
      </c>
      <c r="R11" s="17">
        <f>(Q11+P11-L11)/L11</f>
        <v>-0.714677689273655</v>
      </c>
      <c r="S11" s="17">
        <f>R11</f>
        <v>-0.714677689273655</v>
      </c>
      <c r="T11" s="17">
        <f>(V11-U11)/U11</f>
        <v>-1.00937514676185</v>
      </c>
      <c r="U11" s="15">
        <f>608-U10-U9-U8</f>
        <v>170.344</v>
      </c>
      <c r="V11" s="15">
        <f>69.5-V10-V9-V8</f>
        <v>-1.597</v>
      </c>
      <c r="W11" s="15">
        <f>-433-W10-W9-W8</f>
        <v>42.867</v>
      </c>
      <c r="X11" s="15">
        <v>-0.5</v>
      </c>
      <c r="Y11" s="15"/>
      <c r="Z11" s="15"/>
      <c r="AA11" s="15">
        <v>0</v>
      </c>
      <c r="AB11" s="15">
        <f>AD10</f>
        <v>295.334</v>
      </c>
      <c r="AC11" s="15">
        <f>V11+W11+X11+Y11+Z11+AA11</f>
        <v>40.77</v>
      </c>
      <c r="AD11" s="15">
        <f>AB11+AC11</f>
        <v>336.104</v>
      </c>
      <c r="AE11" s="15">
        <f>SUM(V11:Y11)</f>
        <v>40.77</v>
      </c>
      <c r="AF11" s="15">
        <f>AE11</f>
        <v>40.77</v>
      </c>
      <c r="AG11" s="15">
        <f>-(Z11+AA11)+AG10</f>
        <v>-371.141</v>
      </c>
      <c r="AH11" s="15">
        <f>AG11</f>
        <v>-371.141</v>
      </c>
      <c r="AI11" s="15">
        <v>23400</v>
      </c>
      <c r="AJ11" s="15"/>
      <c r="AK11" s="15"/>
    </row>
    <row r="12" ht="20.05" customHeight="1">
      <c r="B12" s="33">
        <v>2022</v>
      </c>
      <c r="C12" s="14"/>
      <c r="D12" s="15"/>
      <c r="E12" s="15"/>
      <c r="F12" s="18"/>
      <c r="G12" s="23"/>
      <c r="H12" s="23"/>
      <c r="I12" s="23"/>
      <c r="J12" s="23"/>
      <c r="K12" s="18">
        <f>'Model'!E26</f>
        <v>221.3728082</v>
      </c>
      <c r="L12" s="23"/>
      <c r="M12" s="15"/>
      <c r="N12" s="15">
        <f>'Model'!B5</f>
        <v>167.41593</v>
      </c>
      <c r="O12" s="23"/>
      <c r="P12" s="15"/>
      <c r="Q12" s="15"/>
      <c r="R12" s="17"/>
      <c r="S12" s="17">
        <f>'Model'!B6</f>
        <v>-0.714677689273655</v>
      </c>
      <c r="T12" s="23"/>
      <c r="U12" s="15"/>
      <c r="V12" s="15"/>
      <c r="W12" s="15"/>
      <c r="X12" s="15"/>
      <c r="Y12" s="15"/>
      <c r="Z12" s="15"/>
      <c r="AA12" s="15"/>
      <c r="AB12" s="15"/>
      <c r="AC12" s="23"/>
      <c r="AD12" s="23"/>
      <c r="AE12" s="15"/>
      <c r="AF12" s="15">
        <f>SUM('Model'!E10:E11)</f>
        <v>63.6460955</v>
      </c>
      <c r="AG12" s="23"/>
      <c r="AH12" s="15">
        <f>'Model'!E28</f>
        <v>-222.18178145</v>
      </c>
      <c r="AI12" s="15">
        <v>20300</v>
      </c>
      <c r="AJ12" s="15">
        <f>AI12</f>
        <v>20300</v>
      </c>
      <c r="AK12" s="15">
        <v>15375.2635036511</v>
      </c>
    </row>
    <row r="13" ht="20.05" customHeight="1">
      <c r="B13" s="34"/>
      <c r="C13" s="14"/>
      <c r="D13" s="15"/>
      <c r="E13" s="23"/>
      <c r="F13" s="18"/>
      <c r="G13" s="23"/>
      <c r="H13" s="23"/>
      <c r="I13" s="23"/>
      <c r="J13" s="23"/>
      <c r="K13" s="23"/>
      <c r="L13" s="23"/>
      <c r="M13" s="15"/>
      <c r="N13" s="15">
        <f>'Model'!C5</f>
        <v>184.157523</v>
      </c>
      <c r="O13" s="17"/>
      <c r="P13" s="15"/>
      <c r="Q13" s="15"/>
      <c r="R13" s="17"/>
      <c r="S13" s="15"/>
      <c r="T13" s="23"/>
      <c r="U13" s="15"/>
      <c r="V13" s="15"/>
      <c r="W13" s="15"/>
      <c r="X13" s="15"/>
      <c r="Y13" s="15"/>
      <c r="Z13" s="15"/>
      <c r="AA13" s="15"/>
      <c r="AB13" s="15"/>
      <c r="AC13" s="23"/>
      <c r="AD13" s="23"/>
      <c r="AE13" s="15"/>
      <c r="AF13" s="15"/>
      <c r="AG13" s="15"/>
      <c r="AH13" s="15"/>
      <c r="AI13" s="15"/>
      <c r="AJ13" s="15">
        <f>'Model'!E39</f>
        <v>18128.0558001458</v>
      </c>
      <c r="AK13" s="15"/>
    </row>
    <row r="14" ht="20.05" customHeight="1">
      <c r="B14" s="34"/>
      <c r="C14" s="14"/>
      <c r="D14" s="15"/>
      <c r="E14" s="23"/>
      <c r="F14" s="18"/>
      <c r="G14" s="23"/>
      <c r="H14" s="23"/>
      <c r="I14" s="23"/>
      <c r="J14" s="23"/>
      <c r="K14" s="23"/>
      <c r="L14" s="15"/>
      <c r="M14" s="15"/>
      <c r="N14" s="15">
        <f>'Model'!D5</f>
        <v>202.5732753</v>
      </c>
      <c r="O14" s="17"/>
      <c r="P14" s="15"/>
      <c r="Q14" s="15"/>
      <c r="R14" s="17"/>
      <c r="S14" s="15"/>
      <c r="T14" s="23"/>
      <c r="U14" s="15"/>
      <c r="V14" s="15"/>
      <c r="W14" s="15"/>
      <c r="X14" s="15"/>
      <c r="Y14" s="15"/>
      <c r="Z14" s="15"/>
      <c r="AA14" s="15"/>
      <c r="AB14" s="15"/>
      <c r="AC14" s="23"/>
      <c r="AD14" s="23"/>
      <c r="AE14" s="15"/>
      <c r="AF14" s="15"/>
      <c r="AG14" s="15"/>
      <c r="AH14" s="15"/>
      <c r="AI14" s="15"/>
      <c r="AJ14" s="15"/>
      <c r="AK14" s="15"/>
    </row>
    <row r="15" ht="20.05" customHeight="1">
      <c r="B15" s="34"/>
      <c r="C15" s="14"/>
      <c r="D15" s="15"/>
      <c r="E15" s="23"/>
      <c r="F15" s="18"/>
      <c r="G15" s="23"/>
      <c r="H15" s="23"/>
      <c r="I15" s="23"/>
      <c r="J15" s="23"/>
      <c r="K15" s="23"/>
      <c r="L15" s="15"/>
      <c r="M15" s="15"/>
      <c r="N15" s="15">
        <f>'Model'!E5</f>
        <v>214.727671818</v>
      </c>
      <c r="O15" s="17"/>
      <c r="P15" s="15"/>
      <c r="Q15" s="15"/>
      <c r="R15" s="17"/>
      <c r="S15" s="15"/>
      <c r="T15" s="23"/>
      <c r="U15" s="15"/>
      <c r="V15" s="15"/>
      <c r="W15" s="15"/>
      <c r="X15" s="15"/>
      <c r="Y15" s="15"/>
      <c r="Z15" s="15"/>
      <c r="AA15" s="15"/>
      <c r="AB15" s="15"/>
      <c r="AC15" s="23"/>
      <c r="AD15" s="23"/>
      <c r="AE15" s="15"/>
      <c r="AF15" s="15"/>
      <c r="AG15" s="15"/>
      <c r="AH15" s="15"/>
      <c r="AI15" s="15"/>
      <c r="AJ15" s="15"/>
      <c r="AK15" s="15"/>
    </row>
  </sheetData>
  <mergeCells count="1">
    <mergeCell ref="B2:A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