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<sst xmlns="http://schemas.openxmlformats.org/spreadsheetml/2006/main" uniqueCount="58">
  <si>
    <t>Financial model</t>
  </si>
  <si>
    <t>$m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</si>
  <si>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</si>
  <si>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</si>
  <si>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</si>
  <si>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</si>
  <si>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</si>
  <si>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</si>
  <si>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</si>
  <si>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</si>
  <si>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 xml:space="preserve">Leases 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</si>
  <si>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</si>
  <si>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</si>
  <si>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</si>
  <si>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</si>
  <si>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</si>
  <si>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</si>
  <si>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</si>
  <si>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</si>
  <si>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</si>
  <si>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</si>
  <si>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</si>
  <si>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</si>
  <si>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</si>
  <si>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</si>
  <si>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</si>
  <si>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</si>
  <si>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</si>
  <si>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</si>
  <si>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</si>
  <si>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</si>
  <si>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</si>
  <si>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</si>
  <si>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</si>
  <si>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</si>
  <si>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</si>
  <si>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</si>
  <si>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</si>
  <si>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</si>
  <si>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</si>
  <si>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</si>
  <si>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</si>
  <si>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</si>
  <si>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Non cash costs</t>
  </si>
  <si>
    <t>Profit</t>
  </si>
  <si>
    <t xml:space="preserve">Sales growth </t>
  </si>
  <si>
    <t xml:space="preserve">Cashflow costs </t>
  </si>
  <si>
    <t>Receipts</t>
  </si>
  <si>
    <t xml:space="preserve">Interest </t>
  </si>
  <si>
    <t>Leases</t>
  </si>
  <si>
    <t xml:space="preserve">Free cashflow </t>
  </si>
  <si>
    <t>Cash</t>
  </si>
  <si>
    <t>Assets</t>
  </si>
  <si>
    <t>Check</t>
  </si>
  <si>
    <t>Share price</t>
  </si>
  <si>
    <t>DSSA</t>
  </si>
  <si>
    <t>Target</t>
  </si>
  <si>
    <t>Previous Target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</si>
</sst>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"/>
    <numFmt numFmtId="60" formatCode="0.0%"/>
    <numFmt numFmtId="61" formatCode="0.0_);[Red]\(0.0\)"/>
    <numFmt numFmtId="62" formatCode="0%_);[Red]\(0%\)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4" borderId="4" applyNumberFormat="1" applyFont="1" applyFill="0" applyBorder="1" applyAlignment="1" applyProtection="0">
      <alignment horizontal="right"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3" fontId="4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346434</xdr:colOff>
      <xdr:row>2</xdr:row>
      <xdr:rowOff>20669</xdr:rowOff>
    </xdr:from>
    <xdr:to>
      <xdr:col>13</xdr:col>
      <xdr:colOff>744491</xdr:colOff>
      <xdr:row>49</xdr:row>
      <xdr:rowOff>80419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296134" y="524224"/>
          <a:ext cx="9110258" cy="120326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6.1953" style="1" customWidth="1"/>
    <col min="3" max="6" width="8.54688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AVERAGE('Sales'!G23:G26)</f>
        <v>0.182248822052856</v>
      </c>
      <c r="D4" s="8"/>
      <c r="E4" s="8"/>
      <c r="F4" s="9">
        <f>AVERAGE(C5:F5)</f>
        <v>0.0475</v>
      </c>
    </row>
    <row r="5" ht="20.05" customHeight="1">
      <c r="B5" t="s" s="10">
        <v>4</v>
      </c>
      <c r="C5" s="11">
        <v>0.05</v>
      </c>
      <c r="D5" s="12">
        <v>-0.01</v>
      </c>
      <c r="E5" s="12">
        <v>0.1</v>
      </c>
      <c r="F5" s="12">
        <v>0.05</v>
      </c>
    </row>
    <row r="6" ht="20.05" customHeight="1">
      <c r="B6" t="s" s="10">
        <v>5</v>
      </c>
      <c r="C6" s="13">
        <f>'Sales'!C26*(1+C5)</f>
        <v>764.1900000000001</v>
      </c>
      <c r="D6" s="14">
        <f>C6*(1+D5)</f>
        <v>756.5481</v>
      </c>
      <c r="E6" s="14">
        <f>D6*(1+E5)</f>
        <v>832.20291</v>
      </c>
      <c r="F6" s="14">
        <f>E6*(1+F5)</f>
        <v>873.8130555</v>
      </c>
    </row>
    <row r="7" ht="20.05" customHeight="1">
      <c r="B7" t="s" s="10">
        <v>6</v>
      </c>
      <c r="C7" s="11">
        <f>AVERAGE('Sales'!H26:I26)</f>
        <v>-0.817844578711186</v>
      </c>
      <c r="D7" s="12">
        <f>C7</f>
        <v>-0.817844578711186</v>
      </c>
      <c r="E7" s="12">
        <f>D7</f>
        <v>-0.817844578711186</v>
      </c>
      <c r="F7" s="12">
        <f>E7</f>
        <v>-0.817844578711186</v>
      </c>
    </row>
    <row r="8" ht="20.05" customHeight="1">
      <c r="B8" t="s" s="10">
        <v>7</v>
      </c>
      <c r="C8" s="15">
        <f>C6*C7</f>
        <v>-624.988648605301</v>
      </c>
      <c r="D8" s="16">
        <f>D6*D7</f>
        <v>-618.738762119248</v>
      </c>
      <c r="E8" s="16">
        <f>E6*E7</f>
        <v>-680.612638331173</v>
      </c>
      <c r="F8" s="16">
        <f>F6*F7</f>
        <v>-714.6432702477319</v>
      </c>
    </row>
    <row r="9" ht="20.05" customHeight="1">
      <c r="B9" t="s" s="10">
        <v>8</v>
      </c>
      <c r="C9" s="15">
        <f>C6+C8</f>
        <v>139.201351394699</v>
      </c>
      <c r="D9" s="16">
        <f>D6+D8</f>
        <v>137.809337880752</v>
      </c>
      <c r="E9" s="16">
        <f>E6+E8</f>
        <v>151.590271668827</v>
      </c>
      <c r="F9" s="16">
        <f>F6+F8</f>
        <v>159.169785252268</v>
      </c>
    </row>
    <row r="10" ht="20.05" customHeight="1">
      <c r="B10" t="s" s="10">
        <v>9</v>
      </c>
      <c r="C10" s="15">
        <f>AVERAGE('Cashflow '!E27)</f>
        <v>-22.2</v>
      </c>
      <c r="D10" s="16">
        <f>C10</f>
        <v>-22.2</v>
      </c>
      <c r="E10" s="16">
        <f>D10</f>
        <v>-22.2</v>
      </c>
      <c r="F10" s="16">
        <f>E10</f>
        <v>-22.2</v>
      </c>
    </row>
    <row r="11" ht="20.05" customHeight="1">
      <c r="B11" t="s" s="10">
        <v>10</v>
      </c>
      <c r="C11" s="15">
        <f>'Cashflow '!G27</f>
        <v>-0.7</v>
      </c>
      <c r="D11" s="16">
        <f>C11</f>
        <v>-0.7</v>
      </c>
      <c r="E11" s="16">
        <f>D11</f>
        <v>-0.7</v>
      </c>
      <c r="F11" s="16">
        <f>E11</f>
        <v>-0.7</v>
      </c>
    </row>
    <row r="12" ht="20.05" customHeight="1">
      <c r="B12" t="s" s="10">
        <v>11</v>
      </c>
      <c r="C12" s="15">
        <f>C13+C14+C16</f>
        <v>-74.2101351394699</v>
      </c>
      <c r="D12" s="16">
        <f>D13+D14+D16</f>
        <v>-70.9209337880752</v>
      </c>
      <c r="E12" s="16">
        <f>E13+E14+E16</f>
        <v>-69.3065271668827</v>
      </c>
      <c r="F12" s="16">
        <f>F13+F14+F16</f>
        <v>-67.2216035252268</v>
      </c>
    </row>
    <row r="13" ht="20.05" customHeight="1">
      <c r="B13" t="s" s="10">
        <v>12</v>
      </c>
      <c r="C13" s="15">
        <f>-'Balance sheet'!G27/20</f>
        <v>-63</v>
      </c>
      <c r="D13" s="16">
        <f>-C27/20</f>
        <v>-59.85</v>
      </c>
      <c r="E13" s="16">
        <f>-D27/20</f>
        <v>-56.8575</v>
      </c>
      <c r="F13" s="16">
        <f>-E27/20</f>
        <v>-54.014625</v>
      </c>
    </row>
    <row r="14" ht="20.05" customHeight="1">
      <c r="B14" t="s" s="10">
        <v>13</v>
      </c>
      <c r="C14" s="15">
        <f>IF(C22&gt;0,-C22*0.1,0)</f>
        <v>-11.2101351394699</v>
      </c>
      <c r="D14" s="16">
        <f>IF(D22&gt;0,-D22*0.1,0)</f>
        <v>-11.0709337880752</v>
      </c>
      <c r="E14" s="16">
        <f>IF(E22&gt;0,-E22*0.1,0)</f>
        <v>-12.4490271668827</v>
      </c>
      <c r="F14" s="16">
        <f>IF(F22&gt;0,-F22*0.1,0)</f>
        <v>-13.2069785252268</v>
      </c>
    </row>
    <row r="15" ht="20.05" customHeight="1">
      <c r="B15" t="s" s="10">
        <v>14</v>
      </c>
      <c r="C15" s="15">
        <f>C9+C10+C13+C14</f>
        <v>42.7912162552291</v>
      </c>
      <c r="D15" s="16">
        <f>D9+D10+D13+D14</f>
        <v>44.6884040926768</v>
      </c>
      <c r="E15" s="16">
        <f>E9+E10+E13+E14</f>
        <v>60.0837445019443</v>
      </c>
      <c r="F15" s="16">
        <f>F9+F10+F13+F14</f>
        <v>69.7481817270412</v>
      </c>
    </row>
    <row r="16" ht="20.05" customHeight="1">
      <c r="B16" t="s" s="10">
        <v>15</v>
      </c>
      <c r="C16" s="15">
        <f>-MIN(0,C15)</f>
        <v>0</v>
      </c>
      <c r="D16" s="16">
        <f>-MIN(C28,D15)</f>
        <v>0</v>
      </c>
      <c r="E16" s="16">
        <f>-MIN(D28,E15)</f>
        <v>0</v>
      </c>
      <c r="F16" s="16">
        <f>-MIN(E28,F15)</f>
        <v>0</v>
      </c>
    </row>
    <row r="17" ht="20.05" customHeight="1">
      <c r="B17" t="s" s="10">
        <v>16</v>
      </c>
      <c r="C17" s="15">
        <f>'Balance sheet'!C27</f>
        <v>521</v>
      </c>
      <c r="D17" s="16">
        <f>C19</f>
        <v>563.791216255229</v>
      </c>
      <c r="E17" s="16">
        <f>D19</f>
        <v>608.479620347906</v>
      </c>
      <c r="F17" s="16">
        <f>E19</f>
        <v>668.563364849850</v>
      </c>
    </row>
    <row r="18" ht="20.05" customHeight="1">
      <c r="B18" t="s" s="10">
        <v>17</v>
      </c>
      <c r="C18" s="15">
        <f>C9+C10+C12</f>
        <v>42.7912162552291</v>
      </c>
      <c r="D18" s="16">
        <f>D9+D10+D12</f>
        <v>44.6884040926768</v>
      </c>
      <c r="E18" s="16">
        <f>E9+E10+E12</f>
        <v>60.0837445019443</v>
      </c>
      <c r="F18" s="16">
        <f>F9+F10+F12</f>
        <v>69.7481817270412</v>
      </c>
    </row>
    <row r="19" ht="20.05" customHeight="1">
      <c r="B19" t="s" s="10">
        <v>18</v>
      </c>
      <c r="C19" s="15">
        <f>C17+C18</f>
        <v>563.791216255229</v>
      </c>
      <c r="D19" s="16">
        <f>D17+D18</f>
        <v>608.479620347906</v>
      </c>
      <c r="E19" s="16">
        <f>E17+E18</f>
        <v>668.563364849850</v>
      </c>
      <c r="F19" s="16">
        <f>F17+F18</f>
        <v>738.311546576891</v>
      </c>
    </row>
    <row r="20" ht="20.05" customHeight="1">
      <c r="B20" t="s" s="17">
        <v>19</v>
      </c>
      <c r="C20" s="15"/>
      <c r="D20" s="16"/>
      <c r="E20" s="16"/>
      <c r="F20" s="18"/>
    </row>
    <row r="21" ht="20.05" customHeight="1">
      <c r="B21" t="s" s="10">
        <v>20</v>
      </c>
      <c r="C21" s="15">
        <f>-AVERAGE('Sales'!E26)</f>
        <v>-27.1</v>
      </c>
      <c r="D21" s="16">
        <f>C21</f>
        <v>-27.1</v>
      </c>
      <c r="E21" s="16">
        <f>D21</f>
        <v>-27.1</v>
      </c>
      <c r="F21" s="16">
        <f>E21</f>
        <v>-27.1</v>
      </c>
    </row>
    <row r="22" ht="20.05" customHeight="1">
      <c r="B22" t="s" s="10">
        <v>19</v>
      </c>
      <c r="C22" s="15">
        <f>C6+C8+C21</f>
        <v>112.101351394699</v>
      </c>
      <c r="D22" s="16">
        <f>D6+D8+D21</f>
        <v>110.709337880752</v>
      </c>
      <c r="E22" s="16">
        <f>E6+E8+E21</f>
        <v>124.490271668827</v>
      </c>
      <c r="F22" s="16">
        <f>F6+F8+F21</f>
        <v>132.069785252268</v>
      </c>
    </row>
    <row r="23" ht="20.05" customHeight="1">
      <c r="B23" t="s" s="17">
        <v>21</v>
      </c>
      <c r="C23" s="15"/>
      <c r="D23" s="16"/>
      <c r="E23" s="16"/>
      <c r="F23" s="16"/>
    </row>
    <row r="24" ht="20.05" customHeight="1">
      <c r="B24" t="s" s="10">
        <v>22</v>
      </c>
      <c r="C24" s="15">
        <f>'Balance sheet'!E27+'Balance sheet'!F27-C10</f>
        <v>3027.2</v>
      </c>
      <c r="D24" s="16">
        <f>C24-D10</f>
        <v>3049.4</v>
      </c>
      <c r="E24" s="16">
        <f>D24-E10</f>
        <v>3071.6</v>
      </c>
      <c r="F24" s="16">
        <f>E24-F10</f>
        <v>3093.8</v>
      </c>
    </row>
    <row r="25" ht="20.05" customHeight="1">
      <c r="B25" t="s" s="10">
        <v>23</v>
      </c>
      <c r="C25" s="15">
        <f>'Balance sheet'!F27-C21</f>
        <v>543.1</v>
      </c>
      <c r="D25" s="16">
        <f>C25-D21</f>
        <v>570.2</v>
      </c>
      <c r="E25" s="16">
        <f>D25-E21</f>
        <v>597.3</v>
      </c>
      <c r="F25" s="16">
        <f>E25-F21</f>
        <v>624.4</v>
      </c>
    </row>
    <row r="26" ht="20.05" customHeight="1">
      <c r="B26" t="s" s="10">
        <v>24</v>
      </c>
      <c r="C26" s="15">
        <f>C24-C25</f>
        <v>2484.1</v>
      </c>
      <c r="D26" s="16">
        <f>D24-D25</f>
        <v>2479.2</v>
      </c>
      <c r="E26" s="16">
        <f>E24-E25</f>
        <v>2474.3</v>
      </c>
      <c r="F26" s="16">
        <f>F24-F25</f>
        <v>2469.4</v>
      </c>
    </row>
    <row r="27" ht="20.05" customHeight="1">
      <c r="B27" t="s" s="10">
        <v>12</v>
      </c>
      <c r="C27" s="15">
        <f>'Balance sheet'!G27+C13</f>
        <v>1197</v>
      </c>
      <c r="D27" s="16">
        <f>C27+D13</f>
        <v>1137.15</v>
      </c>
      <c r="E27" s="16">
        <f>D27+E13</f>
        <v>1080.2925</v>
      </c>
      <c r="F27" s="16">
        <f>E27+F13</f>
        <v>1026.277875</v>
      </c>
    </row>
    <row r="28" ht="20.05" customHeight="1">
      <c r="B28" t="s" s="10">
        <v>15</v>
      </c>
      <c r="C28" s="15">
        <f>C16</f>
        <v>0</v>
      </c>
      <c r="D28" s="16">
        <f>C28+D16</f>
        <v>0</v>
      </c>
      <c r="E28" s="16">
        <f>D28+E16</f>
        <v>0</v>
      </c>
      <c r="F28" s="16">
        <f>E28+F16</f>
        <v>0</v>
      </c>
    </row>
    <row r="29" ht="20.05" customHeight="1">
      <c r="B29" t="s" s="10">
        <v>13</v>
      </c>
      <c r="C29" s="15">
        <f>'Balance sheet'!H27+C22+C14</f>
        <v>1850.891216255230</v>
      </c>
      <c r="D29" s="16">
        <f>C29+D22+D14</f>
        <v>1950.529620347910</v>
      </c>
      <c r="E29" s="16">
        <f>D29+E22+E14</f>
        <v>2062.570864849850</v>
      </c>
      <c r="F29" s="16">
        <f>E29+F22+F14</f>
        <v>2181.433671576890</v>
      </c>
    </row>
    <row r="30" ht="20.05" customHeight="1">
      <c r="B30" t="s" s="10">
        <v>25</v>
      </c>
      <c r="C30" s="15">
        <f>C27+C28+C29-C19-C26</f>
        <v>1e-12</v>
      </c>
      <c r="D30" s="16">
        <f>D27+D28+D29-D19-D26</f>
        <v>4e-12</v>
      </c>
      <c r="E30" s="16">
        <f>E27+E28+E29-E19-E26</f>
        <v>0</v>
      </c>
      <c r="F30" s="16">
        <f>F27+F28+F29-F19-F26</f>
        <v>-1e-12</v>
      </c>
    </row>
    <row r="31" ht="20.05" customHeight="1">
      <c r="B31" t="s" s="10">
        <v>26</v>
      </c>
      <c r="C31" s="15">
        <f>C19-C27-C28</f>
        <v>-633.208783744771</v>
      </c>
      <c r="D31" s="16">
        <f>D19-D27-D28</f>
        <v>-528.670379652094</v>
      </c>
      <c r="E31" s="16">
        <f>E19-E27-E28</f>
        <v>-411.729135150150</v>
      </c>
      <c r="F31" s="16">
        <f>F19-F27-F28</f>
        <v>-287.966328423109</v>
      </c>
    </row>
    <row r="32" ht="20.05" customHeight="1">
      <c r="B32" t="s" s="17">
        <v>27</v>
      </c>
      <c r="C32" s="15"/>
      <c r="D32" s="16"/>
      <c r="E32" s="16"/>
      <c r="F32" s="16"/>
    </row>
    <row r="33" ht="20.05" customHeight="1">
      <c r="B33" t="s" s="10">
        <v>28</v>
      </c>
      <c r="C33" s="15"/>
      <c r="D33" s="16"/>
      <c r="E33" s="16"/>
      <c r="F33" s="16">
        <v>14</v>
      </c>
    </row>
    <row r="34" ht="20.05" customHeight="1">
      <c r="B34" t="s" s="10">
        <v>29</v>
      </c>
      <c r="C34" s="15">
        <f>'Cashflow '!N27-C12</f>
        <v>-475.849864860530</v>
      </c>
      <c r="D34" s="16">
        <f>C34-D12</f>
        <v>-404.928931072455</v>
      </c>
      <c r="E34" s="16">
        <f>D34-E12</f>
        <v>-335.622403905572</v>
      </c>
      <c r="F34" s="16">
        <f>E34-F12</f>
        <v>-268.400800380345</v>
      </c>
    </row>
    <row r="35" ht="20.05" customHeight="1">
      <c r="B35" t="s" s="10">
        <v>30</v>
      </c>
      <c r="C35" s="15"/>
      <c r="D35" s="16"/>
      <c r="E35" s="16"/>
      <c r="F35" s="16">
        <v>33904288000000</v>
      </c>
    </row>
    <row r="36" ht="20.05" customHeight="1">
      <c r="B36" t="s" s="10">
        <v>30</v>
      </c>
      <c r="C36" s="15"/>
      <c r="D36" s="16"/>
      <c r="E36" s="16"/>
      <c r="F36" s="16">
        <f>(F35/1000000000)/F33</f>
        <v>2421.734857142860</v>
      </c>
    </row>
    <row r="37" ht="20.05" customHeight="1">
      <c r="B37" t="s" s="10">
        <v>31</v>
      </c>
      <c r="C37" s="15"/>
      <c r="D37" s="16"/>
      <c r="E37" s="16"/>
      <c r="F37" s="19">
        <f>F36/(F19+F26)</f>
        <v>0.7549727654680219</v>
      </c>
    </row>
    <row r="38" ht="20.05" customHeight="1">
      <c r="B38" t="s" s="10">
        <v>32</v>
      </c>
      <c r="C38" s="15"/>
      <c r="D38" s="16"/>
      <c r="E38" s="16"/>
      <c r="F38" s="20">
        <f>-(C14+D14+E14+F14)/F36</f>
        <v>0.0197945181646393</v>
      </c>
    </row>
    <row r="39" ht="20.05" customHeight="1">
      <c r="B39" t="s" s="10">
        <v>33</v>
      </c>
      <c r="C39" s="15"/>
      <c r="D39" s="16"/>
      <c r="E39" s="16"/>
      <c r="F39" s="16">
        <f>SUM(C9:F11)</f>
        <v>496.170746196546</v>
      </c>
    </row>
    <row r="40" ht="20.05" customHeight="1">
      <c r="B40" t="s" s="10">
        <v>34</v>
      </c>
      <c r="C40" s="15"/>
      <c r="D40" s="16"/>
      <c r="E40" s="16"/>
      <c r="F40" s="16">
        <f>'Balance sheet'!E27/F39</f>
        <v>5.01641827753796</v>
      </c>
    </row>
    <row r="41" ht="20.05" customHeight="1">
      <c r="B41" t="s" s="10">
        <v>27</v>
      </c>
      <c r="C41" s="15"/>
      <c r="D41" s="16"/>
      <c r="E41" s="16"/>
      <c r="F41" s="16">
        <f>F36/F39</f>
        <v>4.88084973914111</v>
      </c>
    </row>
    <row r="42" ht="20.05" customHeight="1">
      <c r="B42" t="s" s="10">
        <v>35</v>
      </c>
      <c r="C42" s="15"/>
      <c r="D42" s="16"/>
      <c r="E42" s="16"/>
      <c r="F42" s="16">
        <v>10</v>
      </c>
    </row>
    <row r="43" ht="20.05" customHeight="1">
      <c r="B43" t="s" s="10">
        <v>36</v>
      </c>
      <c r="C43" s="15"/>
      <c r="D43" s="16"/>
      <c r="E43" s="16"/>
      <c r="F43" s="16">
        <f>F39*F42</f>
        <v>4961.707461965460</v>
      </c>
    </row>
    <row r="44" ht="20.05" customHeight="1">
      <c r="B44" t="s" s="10">
        <v>37</v>
      </c>
      <c r="C44" s="15"/>
      <c r="D44" s="16"/>
      <c r="E44" s="16"/>
      <c r="F44" s="16">
        <f>(F35/1000000000)/F46</f>
        <v>0.770552</v>
      </c>
    </row>
    <row r="45" ht="20.05" customHeight="1">
      <c r="B45" t="s" s="10">
        <v>38</v>
      </c>
      <c r="C45" s="15"/>
      <c r="D45" s="16"/>
      <c r="E45" s="16"/>
      <c r="F45" s="16">
        <f>(F43/F44)*F33</f>
        <v>90148.2371955643</v>
      </c>
    </row>
    <row r="46" ht="20.05" customHeight="1">
      <c r="B46" t="s" s="10">
        <v>39</v>
      </c>
      <c r="C46" s="15"/>
      <c r="D46" s="16"/>
      <c r="E46" s="16"/>
      <c r="F46" s="16">
        <f>'Share price '!C20</f>
        <v>44000</v>
      </c>
    </row>
    <row r="47" ht="20.05" customHeight="1">
      <c r="B47" t="s" s="10">
        <v>40</v>
      </c>
      <c r="C47" s="15"/>
      <c r="D47" s="16"/>
      <c r="E47" s="16"/>
      <c r="F47" s="20">
        <f>F45/F46-1</f>
        <v>1.04882357262646</v>
      </c>
    </row>
    <row r="48" ht="20.05" customHeight="1">
      <c r="B48" t="s" s="10">
        <v>41</v>
      </c>
      <c r="C48" s="15"/>
      <c r="D48" s="16"/>
      <c r="E48" s="16"/>
      <c r="F48" s="20">
        <f>'Sales'!C26/'Sales'!C22-1</f>
        <v>0.848146267140681</v>
      </c>
    </row>
    <row r="49" ht="20.05" customHeight="1">
      <c r="B49" t="s" s="10">
        <v>42</v>
      </c>
      <c r="C49" s="15"/>
      <c r="D49" s="16"/>
      <c r="E49" s="16"/>
      <c r="F49" s="20">
        <f>('Sales'!D22+'Sales'!D26+'Sales'!D25+'Sales'!D23+'Sales'!D24)/('Sales'!C22+'Sales'!C23+'Sales'!C25+'Sales'!C26+'Sales'!C24)-1</f>
        <v>-0.0430414859108141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30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1" customWidth="1"/>
    <col min="2" max="11" width="10.9688" style="21" customWidth="1"/>
    <col min="12" max="16384" width="16.3516" style="21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5">
        <v>1</v>
      </c>
      <c r="C2" t="s" s="5">
        <v>5</v>
      </c>
      <c r="D2" t="s" s="5">
        <v>35</v>
      </c>
      <c r="E2" t="s" s="5">
        <v>43</v>
      </c>
      <c r="F2" t="s" s="5">
        <v>44</v>
      </c>
      <c r="G2" t="s" s="5">
        <v>45</v>
      </c>
      <c r="H2" t="s" s="5">
        <v>6</v>
      </c>
      <c r="I2" t="s" s="5">
        <v>6</v>
      </c>
      <c r="J2" t="s" s="5">
        <v>35</v>
      </c>
      <c r="K2" t="s" s="5">
        <v>46</v>
      </c>
    </row>
    <row r="3" ht="20.25" customHeight="1">
      <c r="B3" s="22">
        <v>2016</v>
      </c>
      <c r="C3" s="23">
        <v>168.8</v>
      </c>
      <c r="D3" s="24"/>
      <c r="E3" s="24"/>
      <c r="F3" s="25">
        <v>18.58</v>
      </c>
      <c r="G3" s="26"/>
      <c r="H3" s="9">
        <f>(E3+F3-C3)/C3</f>
        <v>-0.889928909952607</v>
      </c>
      <c r="I3" s="9"/>
      <c r="J3" s="9"/>
      <c r="K3" s="9">
        <f>('Cashflow '!D4+'Cashflow '!F4-'Cashflow '!C4)/'Cashflow '!C4</f>
        <v>-0.996856906534326</v>
      </c>
    </row>
    <row r="4" ht="20.05" customHeight="1">
      <c r="B4" s="27"/>
      <c r="C4" s="13">
        <f>331.82-C3</f>
        <v>163.02</v>
      </c>
      <c r="D4" s="14"/>
      <c r="E4" s="14"/>
      <c r="F4" s="16">
        <f>5.46-F3</f>
        <v>-13.12</v>
      </c>
      <c r="G4" s="12">
        <f>C4/C3-1</f>
        <v>-0.0342417061611374</v>
      </c>
      <c r="H4" s="12">
        <f>(E4+F4-C4)/C4</f>
        <v>-1.08048092258619</v>
      </c>
      <c r="I4" s="12"/>
      <c r="J4" s="12"/>
      <c r="K4" s="12">
        <f>('Cashflow '!D5+'Cashflow '!F5-'Cashflow '!C5)/'Cashflow '!C5</f>
        <v>-0.9477621091355</v>
      </c>
    </row>
    <row r="5" ht="20.05" customHeight="1">
      <c r="B5" s="27"/>
      <c r="C5" s="13">
        <f>538.44-SUM(C3:C4)</f>
        <v>206.62</v>
      </c>
      <c r="D5" s="14"/>
      <c r="E5" s="14"/>
      <c r="F5" s="16">
        <f>50.27-SUM(F3:F4)</f>
        <v>44.81</v>
      </c>
      <c r="G5" s="12">
        <f>C5/C4-1</f>
        <v>0.267451846399215</v>
      </c>
      <c r="H5" s="12">
        <f>(E5+F5-C5)/C5</f>
        <v>-0.783128448359307</v>
      </c>
      <c r="I5" s="12"/>
      <c r="J5" s="12"/>
      <c r="K5" s="12">
        <f>('Cashflow '!D6+'Cashflow '!F6-'Cashflow '!C6)/'Cashflow '!C6</f>
        <v>-0.976779773785762</v>
      </c>
    </row>
    <row r="6" ht="20.05" customHeight="1">
      <c r="B6" s="27"/>
      <c r="C6" s="13">
        <f>712-SUM(C3:C5)</f>
        <v>173.56</v>
      </c>
      <c r="D6" s="14"/>
      <c r="E6" s="14"/>
      <c r="F6" s="16">
        <f>64.78-SUM(F3:F5)</f>
        <v>14.51</v>
      </c>
      <c r="G6" s="12">
        <f>C6/C5-1</f>
        <v>-0.160003871842029</v>
      </c>
      <c r="H6" s="12">
        <f>(E6+F6-C6)/C6</f>
        <v>-0.916397787508643</v>
      </c>
      <c r="I6" s="12"/>
      <c r="J6" s="12"/>
      <c r="K6" s="12">
        <f>('Cashflow '!D7+'Cashflow '!F7-'Cashflow '!C7)/'Cashflow '!C7</f>
        <v>-1.17693447969167</v>
      </c>
    </row>
    <row r="7" ht="20.05" customHeight="1">
      <c r="B7" s="28">
        <v>2017</v>
      </c>
      <c r="C7" s="13">
        <v>214</v>
      </c>
      <c r="D7" s="14"/>
      <c r="E7" s="14">
        <v>10</v>
      </c>
      <c r="F7" s="16">
        <v>30</v>
      </c>
      <c r="G7" s="12">
        <f>C7/C6-1</f>
        <v>0.233002996082047</v>
      </c>
      <c r="H7" s="12">
        <f>(E7+F7-C7)/C7</f>
        <v>-0.813084112149533</v>
      </c>
      <c r="I7" s="12">
        <f>AVERAGE(H4:H7)</f>
        <v>-0.898272817650918</v>
      </c>
      <c r="J7" s="12"/>
      <c r="K7" s="12">
        <f>('Cashflow '!D8+'Cashflow '!F8-'Cashflow '!C8)/'Cashflow '!C8</f>
        <v>-0.87608938547486</v>
      </c>
    </row>
    <row r="8" ht="20.05" customHeight="1">
      <c r="B8" s="27"/>
      <c r="C8" s="13">
        <f>544.67-C7</f>
        <v>330.67</v>
      </c>
      <c r="D8" s="14"/>
      <c r="E8" s="14">
        <v>6.7</v>
      </c>
      <c r="F8" s="16">
        <f>77.47-F7</f>
        <v>47.47</v>
      </c>
      <c r="G8" s="12">
        <f>C8/C7-1</f>
        <v>0.54518691588785</v>
      </c>
      <c r="H8" s="12">
        <f>(E8+F8-C8)/C8</f>
        <v>-0.836181086884205</v>
      </c>
      <c r="I8" s="12">
        <f>AVERAGE(H5:H8)</f>
        <v>-0.837197858725422</v>
      </c>
      <c r="J8" s="12"/>
      <c r="K8" s="12">
        <f>('Cashflow '!D9+'Cashflow '!F9-'Cashflow '!C9)/'Cashflow '!C9</f>
        <v>-1.01573908101255</v>
      </c>
    </row>
    <row r="9" ht="20.05" customHeight="1">
      <c r="B9" s="27"/>
      <c r="C9" s="13">
        <f>856.4-SUM(C7:C8)</f>
        <v>311.73</v>
      </c>
      <c r="D9" s="14"/>
      <c r="E9" s="14">
        <v>9.300000000000001</v>
      </c>
      <c r="F9" s="16">
        <f>99.25-SUM(F7:F8)</f>
        <v>21.78</v>
      </c>
      <c r="G9" s="12">
        <f>C9/C8-1</f>
        <v>-0.0572776484108023</v>
      </c>
      <c r="H9" s="12">
        <f>(E9+F9-C9)/C9</f>
        <v>-0.900298335097681</v>
      </c>
      <c r="I9" s="12">
        <f>AVERAGE(H6:H9)</f>
        <v>-0.866490330410016</v>
      </c>
      <c r="J9" s="12"/>
      <c r="K9" s="12">
        <f>('Cashflow '!D10+'Cashflow '!F10-'Cashflow '!C10)/'Cashflow '!C10</f>
        <v>-0.798369037055816</v>
      </c>
    </row>
    <row r="10" ht="20.05" customHeight="1">
      <c r="B10" s="27"/>
      <c r="C10" s="13">
        <f>1321.7-SUM(C7:C9)</f>
        <v>465.3</v>
      </c>
      <c r="D10" s="14"/>
      <c r="E10" s="14">
        <v>12.5</v>
      </c>
      <c r="F10" s="16">
        <f>127.2-SUM(F7:F9)</f>
        <v>27.95</v>
      </c>
      <c r="G10" s="12">
        <f>C10/C9-1</f>
        <v>0.492637859686267</v>
      </c>
      <c r="H10" s="12">
        <f>(E10+F10-C10)/C10</f>
        <v>-0.913066838598753</v>
      </c>
      <c r="I10" s="12">
        <f>AVERAGE(H7:H10)</f>
        <v>-0.865657593182543</v>
      </c>
      <c r="J10" s="12"/>
      <c r="K10" s="12">
        <f>('Cashflow '!D11+'Cashflow '!F11-'Cashflow '!C11)/'Cashflow '!C11</f>
        <v>-0.747866959587186</v>
      </c>
    </row>
    <row r="11" ht="20.05" customHeight="1">
      <c r="B11" s="28">
        <v>2018</v>
      </c>
      <c r="C11" s="13">
        <v>410</v>
      </c>
      <c r="D11" s="14"/>
      <c r="E11" s="14">
        <v>10.4</v>
      </c>
      <c r="F11" s="16">
        <v>49.6</v>
      </c>
      <c r="G11" s="12">
        <f>C11/C10-1</f>
        <v>-0.118848055018268</v>
      </c>
      <c r="H11" s="12">
        <f>(E11+F11-C11)/C11</f>
        <v>-0.8536585365853659</v>
      </c>
      <c r="I11" s="12">
        <f>AVERAGE(H8:H11)</f>
        <v>-0.875801199291501</v>
      </c>
      <c r="J11" s="12"/>
      <c r="K11" s="12">
        <f>('Cashflow '!D12+'Cashflow '!F12-'Cashflow '!C12)/'Cashflow '!C12</f>
        <v>-0.777961432506887</v>
      </c>
    </row>
    <row r="12" ht="20.05" customHeight="1">
      <c r="B12" s="27"/>
      <c r="C12" s="13">
        <f>823.8-C11</f>
        <v>413.8</v>
      </c>
      <c r="D12" s="14"/>
      <c r="E12" s="14">
        <v>10.5</v>
      </c>
      <c r="F12" s="16">
        <f>39.1-F11</f>
        <v>-10.5</v>
      </c>
      <c r="G12" s="12">
        <f>C12/C11-1</f>
        <v>0.009268292682926831</v>
      </c>
      <c r="H12" s="12">
        <f>(E12+F12-C12)/C12</f>
        <v>-1</v>
      </c>
      <c r="I12" s="12">
        <f>AVERAGE(H9:H12)</f>
        <v>-0.91675592757045</v>
      </c>
      <c r="J12" s="12"/>
      <c r="K12" s="12">
        <f>('Cashflow '!D13+'Cashflow '!F13-'Cashflow '!C13)/'Cashflow '!C13</f>
        <v>-1.33101851851852</v>
      </c>
    </row>
    <row r="13" ht="20.05" customHeight="1">
      <c r="B13" s="27"/>
      <c r="C13" s="13">
        <f>1405.5-SUM(C11:C12)</f>
        <v>581.7</v>
      </c>
      <c r="D13" s="14"/>
      <c r="E13" s="14">
        <v>10.3</v>
      </c>
      <c r="F13" s="16">
        <f>135.1-SUM(F11:F12)</f>
        <v>96</v>
      </c>
      <c r="G13" s="12">
        <f>C13/C12-1</f>
        <v>0.405751570807153</v>
      </c>
      <c r="H13" s="12">
        <f>(E13+F13-C13)/C13</f>
        <v>-0.817259755887915</v>
      </c>
      <c r="I13" s="12">
        <f>AVERAGE(H10:H13)</f>
        <v>-0.895996282768009</v>
      </c>
      <c r="J13" s="12"/>
      <c r="K13" s="12">
        <f>('Cashflow '!D14+'Cashflow '!F14-'Cashflow '!C14)/'Cashflow '!C14</f>
        <v>-0.876595744680851</v>
      </c>
    </row>
    <row r="14" ht="20.05" customHeight="1">
      <c r="B14" s="27"/>
      <c r="C14" s="13">
        <f>1768.8-SUM(C11:C13)</f>
        <v>363.3</v>
      </c>
      <c r="D14" s="14"/>
      <c r="E14" s="14">
        <v>10.7</v>
      </c>
      <c r="F14" s="16">
        <f>120.7-SUM(F11:F13)</f>
        <v>-14.4</v>
      </c>
      <c r="G14" s="12">
        <f>C14/C13-1</f>
        <v>-0.375451263537906</v>
      </c>
      <c r="H14" s="12">
        <f>(E14+F14-C14)/C14</f>
        <v>-1.01018442058904</v>
      </c>
      <c r="I14" s="12">
        <f>AVERAGE(H11:H14)</f>
        <v>-0.92027567826558</v>
      </c>
      <c r="J14" s="12"/>
      <c r="K14" s="12">
        <f>('Cashflow '!D15+'Cashflow '!F15-'Cashflow '!C15)/'Cashflow '!C15</f>
        <v>-0.903128430296378</v>
      </c>
    </row>
    <row r="15" ht="20.05" customHeight="1">
      <c r="B15" s="28">
        <v>2019</v>
      </c>
      <c r="C15" s="13">
        <v>449.8</v>
      </c>
      <c r="D15" s="14"/>
      <c r="E15" s="14">
        <v>9.300000000000001</v>
      </c>
      <c r="F15" s="16">
        <v>39.1</v>
      </c>
      <c r="G15" s="12">
        <f>C15/C14-1</f>
        <v>0.238095238095238</v>
      </c>
      <c r="H15" s="12">
        <f>(E15+F15-C15)/C15</f>
        <v>-0.89239662072032</v>
      </c>
      <c r="I15" s="12">
        <f>AVERAGE(H12:H15)</f>
        <v>-0.9299601992993189</v>
      </c>
      <c r="J15" s="12"/>
      <c r="K15" s="12">
        <f>('Cashflow '!D16+'Cashflow '!F16-'Cashflow '!C16)/'Cashflow '!C16</f>
        <v>-0.964109589041096</v>
      </c>
    </row>
    <row r="16" ht="20.05" customHeight="1">
      <c r="B16" s="27"/>
      <c r="C16" s="13">
        <f>832.1-C15</f>
        <v>382.3</v>
      </c>
      <c r="D16" s="14"/>
      <c r="E16" s="14">
        <v>9.199999999999999</v>
      </c>
      <c r="F16" s="16">
        <f>47.8-F15</f>
        <v>8.699999999999999</v>
      </c>
      <c r="G16" s="12">
        <f>C16/C15-1</f>
        <v>-0.150066696309471</v>
      </c>
      <c r="H16" s="12">
        <f>(E16+F16-C16)/C16</f>
        <v>-0.9531781323567881</v>
      </c>
      <c r="I16" s="12">
        <f>AVERAGE(H13:H16)</f>
        <v>-0.918254732388516</v>
      </c>
      <c r="J16" s="12"/>
      <c r="K16" s="12">
        <f>('Cashflow '!D17+'Cashflow '!F17-'Cashflow '!C17)/'Cashflow '!C17</f>
        <v>-1.02169137836354</v>
      </c>
    </row>
    <row r="17" ht="20.05" customHeight="1">
      <c r="B17" s="27"/>
      <c r="C17" s="13">
        <f>1191.5-SUM(C15:C16)</f>
        <v>359.4</v>
      </c>
      <c r="D17" s="14"/>
      <c r="E17" s="14">
        <v>10.9</v>
      </c>
      <c r="F17" s="16">
        <f>43.1-SUM(F15:F16)</f>
        <v>-4.7</v>
      </c>
      <c r="G17" s="12">
        <f>C17/C16-1</f>
        <v>-0.059900601621763</v>
      </c>
      <c r="H17" s="12">
        <f>(E17+F17-C17)/C17</f>
        <v>-0.9827490261547021</v>
      </c>
      <c r="I17" s="12">
        <f>AVERAGE(H14:H17)</f>
        <v>-0.959627049955213</v>
      </c>
      <c r="J17" s="12"/>
      <c r="K17" s="12">
        <f>('Cashflow '!D18+'Cashflow '!F18-'Cashflow '!C18)/'Cashflow '!C18</f>
        <v>-0.7590019846895379</v>
      </c>
    </row>
    <row r="18" ht="20.05" customHeight="1">
      <c r="B18" s="27"/>
      <c r="C18" s="13">
        <f>1666.4-SUM(C15:C17)</f>
        <v>474.9</v>
      </c>
      <c r="D18" s="14"/>
      <c r="E18" s="14">
        <v>8.800000000000001</v>
      </c>
      <c r="F18" s="16">
        <f>71.7-SUM(F15:F17)</f>
        <v>28.6</v>
      </c>
      <c r="G18" s="12">
        <f>C18/C17-1</f>
        <v>0.321368948247078</v>
      </c>
      <c r="H18" s="12">
        <f>(E18+F18-C18)/C18</f>
        <v>-0.921246578226995</v>
      </c>
      <c r="I18" s="12">
        <f>AVERAGE(H15:H18)</f>
        <v>-0.937392589364701</v>
      </c>
      <c r="J18" s="12"/>
      <c r="K18" s="12">
        <f>('Cashflow '!D19+'Cashflow '!F19-'Cashflow '!C19)/'Cashflow '!C19</f>
        <v>-0.940978456014363</v>
      </c>
    </row>
    <row r="19" ht="20.05" customHeight="1">
      <c r="B19" s="28">
        <v>2020</v>
      </c>
      <c r="C19" s="13">
        <v>416.6</v>
      </c>
      <c r="D19" s="14"/>
      <c r="E19" s="14">
        <v>25.2</v>
      </c>
      <c r="F19" s="16">
        <v>26.5</v>
      </c>
      <c r="G19" s="12">
        <f>C19/C18-1</f>
        <v>-0.122762686881449</v>
      </c>
      <c r="H19" s="12">
        <f>(E19+F19-C19)/C19</f>
        <v>-0.8759001440230439</v>
      </c>
      <c r="I19" s="12">
        <f>AVERAGE(H16:H19)</f>
        <v>-0.9332684701903819</v>
      </c>
      <c r="J19" s="12"/>
      <c r="K19" s="12">
        <f>('Cashflow '!D20+'Cashflow '!F20-'Cashflow '!C20)/'Cashflow '!C20</f>
        <v>-0.819151299711175</v>
      </c>
    </row>
    <row r="20" ht="20.05" customHeight="1">
      <c r="B20" s="27"/>
      <c r="C20" s="13">
        <f>771.6-C19</f>
        <v>355</v>
      </c>
      <c r="D20" s="14"/>
      <c r="E20" s="14">
        <v>6.9</v>
      </c>
      <c r="F20" s="16">
        <f>42.3-F19</f>
        <v>15.8</v>
      </c>
      <c r="G20" s="12">
        <f>C20/C19-1</f>
        <v>-0.14786365818531</v>
      </c>
      <c r="H20" s="12">
        <f>(E20+F20-C20)/C20</f>
        <v>-0.936056338028169</v>
      </c>
      <c r="I20" s="12">
        <f>AVERAGE(H17:H20)</f>
        <v>-0.928988021608228</v>
      </c>
      <c r="J20" s="12"/>
      <c r="K20" s="12">
        <f>('Cashflow '!D21+'Cashflow '!F21-'Cashflow '!C21)/'Cashflow '!C21</f>
        <v>-0.944006108424536</v>
      </c>
    </row>
    <row r="21" ht="20.05" customHeight="1">
      <c r="B21" s="27"/>
      <c r="C21" s="13">
        <f>1113.5-SUM(C19:C20)</f>
        <v>341.9</v>
      </c>
      <c r="D21" s="18"/>
      <c r="E21" s="14">
        <v>17.9</v>
      </c>
      <c r="F21" s="16">
        <f>46.8-SUM(F19:F20)</f>
        <v>4.5</v>
      </c>
      <c r="G21" s="12">
        <f>C21/C20-1</f>
        <v>-0.0369014084507042</v>
      </c>
      <c r="H21" s="12">
        <f>(E21+F21-C21)/C21</f>
        <v>-0.934483767183387</v>
      </c>
      <c r="I21" s="12">
        <f>AVERAGE(H18:H21)</f>
        <v>-0.916921706865399</v>
      </c>
      <c r="J21" s="12"/>
      <c r="K21" s="12">
        <f>('Cashflow '!D22+'Cashflow '!F22-'Cashflow '!C22)/'Cashflow '!C22</f>
        <v>-0.764374629519858</v>
      </c>
    </row>
    <row r="22" ht="20.05" customHeight="1">
      <c r="B22" s="27"/>
      <c r="C22" s="13">
        <f>1507.3-SUM(C19:C21)</f>
        <v>393.8</v>
      </c>
      <c r="D22" s="14">
        <v>427.375</v>
      </c>
      <c r="E22" s="14">
        <v>83</v>
      </c>
      <c r="F22" s="16">
        <f>-57.9-SUM(F19:F21)</f>
        <v>-104.7</v>
      </c>
      <c r="G22" s="12">
        <f>C22/C21-1</f>
        <v>0.151798771570635</v>
      </c>
      <c r="H22" s="12">
        <f>(E22+F22-C22)/C22</f>
        <v>-1.05510411376333</v>
      </c>
      <c r="I22" s="12">
        <f>AVERAGE(H19:H22)</f>
        <v>-0.950386090749483</v>
      </c>
      <c r="J22" s="12"/>
      <c r="K22" s="12">
        <f>('Cashflow '!D23+'Cashflow '!F23-'Cashflow '!C23)/'Cashflow '!C23</f>
        <v>-1.71382289416847</v>
      </c>
    </row>
    <row r="23" ht="20.05" customHeight="1">
      <c r="B23" s="28">
        <v>2021</v>
      </c>
      <c r="C23" s="13">
        <v>488.4</v>
      </c>
      <c r="D23" s="14">
        <v>397.45875</v>
      </c>
      <c r="E23" s="14">
        <v>13.9</v>
      </c>
      <c r="F23" s="16">
        <v>104.4</v>
      </c>
      <c r="G23" s="12">
        <f>C23/C22-1</f>
        <v>0.240223463687151</v>
      </c>
      <c r="H23" s="12">
        <f>(E23+F23-C23)/C23</f>
        <v>-0.757780507780508</v>
      </c>
      <c r="I23" s="12">
        <f>AVERAGE(H20:H23)</f>
        <v>-0.920856181688849</v>
      </c>
      <c r="J23" s="12"/>
      <c r="K23" s="12">
        <f>('Cashflow '!D24+'Cashflow '!F24-'Cashflow '!C24)/'Cashflow '!C24</f>
        <v>-0.776597836774828</v>
      </c>
    </row>
    <row r="24" ht="20.05" customHeight="1">
      <c r="B24" s="27"/>
      <c r="C24" s="13">
        <f>937.6-C23</f>
        <v>449.2</v>
      </c>
      <c r="D24" s="14">
        <v>561.66</v>
      </c>
      <c r="E24" s="14">
        <f>25.7+8.2-2.9-E23</f>
        <v>17.1</v>
      </c>
      <c r="F24" s="16">
        <f>95.9-F23</f>
        <v>-8.5</v>
      </c>
      <c r="G24" s="12">
        <f>C24/C23-1</f>
        <v>-0.0802620802620803</v>
      </c>
      <c r="H24" s="12">
        <f>(E24+F24-C24)/C24</f>
        <v>-0.9808548530721281</v>
      </c>
      <c r="I24" s="12">
        <f>AVERAGE(H21:H24)</f>
        <v>-0.932055810449838</v>
      </c>
      <c r="J24" s="12"/>
      <c r="K24" s="12">
        <f>('Cashflow '!D25+'Cashflow '!F25-'Cashflow '!C25)/'Cashflow '!C25</f>
        <v>-0.968835304822566</v>
      </c>
    </row>
    <row r="25" ht="20.05" customHeight="1">
      <c r="B25" s="27"/>
      <c r="C25" s="13">
        <f>1437.1-SUM(C23:C24)</f>
        <v>499.5</v>
      </c>
      <c r="D25" s="14">
        <v>462.676</v>
      </c>
      <c r="E25" s="14">
        <f>39.8+15-3.5-SUM(E23:E24)</f>
        <v>20.3</v>
      </c>
      <c r="F25" s="14">
        <f>135.9-SUM(F23:F24)</f>
        <v>40</v>
      </c>
      <c r="G25" s="12">
        <f>C25/C24-1</f>
        <v>0.111976847729297</v>
      </c>
      <c r="H25" s="12">
        <f>(E25+F25-C25)/C25</f>
        <v>-0.879279279279279</v>
      </c>
      <c r="I25" s="12">
        <f>AVERAGE(H22:H25)</f>
        <v>-0.918254688473811</v>
      </c>
      <c r="J25" s="12"/>
      <c r="K25" s="12">
        <f>('Cashflow '!D26+'Cashflow '!F26-'Cashflow '!C26)/'Cashflow '!C26</f>
        <v>-0.926020953602737</v>
      </c>
    </row>
    <row r="26" ht="20.05" customHeight="1">
      <c r="B26" s="27"/>
      <c r="C26" s="13">
        <f>2164.9-SUM(C23:C25)</f>
        <v>727.8</v>
      </c>
      <c r="D26" s="14">
        <v>599.4</v>
      </c>
      <c r="E26" s="14">
        <f>53.6+28.7-3.9-SUM(E23:E25)</f>
        <v>27.1</v>
      </c>
      <c r="F26" s="14">
        <f>265.3-SUM(F23:F25)</f>
        <v>129.4</v>
      </c>
      <c r="G26" s="12">
        <f>C26/C25-1</f>
        <v>0.457057057057057</v>
      </c>
      <c r="H26" s="12">
        <f>(E26+F26-C26)/C26</f>
        <v>-0.784968397911514</v>
      </c>
      <c r="I26" s="12">
        <f>AVERAGE(H23:H26)</f>
        <v>-0.850720759510857</v>
      </c>
      <c r="J26" s="12">
        <f>I26</f>
        <v>-0.850720759510857</v>
      </c>
      <c r="K26" s="12">
        <f>('Cashflow '!D27+'Cashflow '!F27-'Cashflow '!C27)/'Cashflow '!C27</f>
        <v>-0.711438345976499</v>
      </c>
    </row>
    <row r="27" ht="20.05" customHeight="1">
      <c r="B27" s="28">
        <v>2022</v>
      </c>
      <c r="C27" s="13"/>
      <c r="D27" s="14">
        <f>'Model'!C6</f>
        <v>764.1900000000001</v>
      </c>
      <c r="E27" s="14"/>
      <c r="F27" s="14"/>
      <c r="G27" s="29"/>
      <c r="H27" s="18"/>
      <c r="I27" s="18"/>
      <c r="J27" s="12">
        <f>'Model'!C7</f>
        <v>-0.817844578711186</v>
      </c>
      <c r="K27" s="12"/>
    </row>
    <row r="28" ht="20.05" customHeight="1">
      <c r="B28" s="27"/>
      <c r="C28" s="13"/>
      <c r="D28" s="14">
        <f>'Model'!D6</f>
        <v>756.5481</v>
      </c>
      <c r="E28" s="14"/>
      <c r="F28" s="14"/>
      <c r="G28" s="29"/>
      <c r="H28" s="30"/>
      <c r="I28" s="30"/>
      <c r="J28" s="30"/>
      <c r="K28" s="30"/>
    </row>
    <row r="29" ht="20.05" customHeight="1">
      <c r="B29" s="27"/>
      <c r="C29" s="13"/>
      <c r="D29" s="14">
        <f>'Model'!E6</f>
        <v>832.20291</v>
      </c>
      <c r="E29" s="14"/>
      <c r="F29" s="14"/>
      <c r="G29" s="29"/>
      <c r="H29" s="30"/>
      <c r="I29" s="30"/>
      <c r="J29" s="30"/>
      <c r="K29" s="30"/>
    </row>
    <row r="30" ht="20.05" customHeight="1">
      <c r="B30" s="27"/>
      <c r="C30" s="13"/>
      <c r="D30" s="14">
        <f>'Model'!F6</f>
        <v>873.8130555</v>
      </c>
      <c r="E30" s="14"/>
      <c r="F30" s="14"/>
      <c r="G30" s="29"/>
      <c r="H30" s="30"/>
      <c r="I30" s="30"/>
      <c r="J30" s="30"/>
      <c r="K30" s="30"/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O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31" customWidth="1"/>
    <col min="2" max="2" width="9.5625" style="31" customWidth="1"/>
    <col min="3" max="15" width="10.3672" style="31" customWidth="1"/>
    <col min="16" max="16384" width="16.3516" style="31" customWidth="1"/>
  </cols>
  <sheetData>
    <row r="1" ht="13.8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6.75" customHeight="1">
      <c r="B3" t="s" s="5">
        <v>1</v>
      </c>
      <c r="C3" t="s" s="5">
        <v>47</v>
      </c>
      <c r="D3" t="s" s="5">
        <v>8</v>
      </c>
      <c r="E3" t="s" s="5">
        <v>9</v>
      </c>
      <c r="F3" t="s" s="5">
        <v>48</v>
      </c>
      <c r="G3" t="s" s="5">
        <v>49</v>
      </c>
      <c r="H3" t="s" s="5">
        <v>12</v>
      </c>
      <c r="I3" t="s" s="5">
        <v>13</v>
      </c>
      <c r="J3" t="s" s="5">
        <v>11</v>
      </c>
      <c r="K3" t="s" s="5">
        <v>50</v>
      </c>
      <c r="L3" t="s" s="5">
        <v>3</v>
      </c>
      <c r="M3" t="s" s="5">
        <v>35</v>
      </c>
      <c r="N3" t="s" s="5">
        <v>29</v>
      </c>
      <c r="O3" t="s" s="5">
        <v>35</v>
      </c>
    </row>
    <row r="4" ht="21.4" customHeight="1">
      <c r="B4" s="22">
        <v>2016</v>
      </c>
      <c r="C4" s="32">
        <v>120.9</v>
      </c>
      <c r="D4" s="25">
        <v>8.380000000000001</v>
      </c>
      <c r="E4" s="25">
        <v>-32.29</v>
      </c>
      <c r="F4" s="25">
        <v>-8</v>
      </c>
      <c r="G4" s="25"/>
      <c r="H4" s="25"/>
      <c r="I4" s="25"/>
      <c r="J4" s="25">
        <v>2.1</v>
      </c>
      <c r="K4" s="33">
        <f>F4+G4+D4+E4</f>
        <v>-31.91</v>
      </c>
      <c r="L4" s="33"/>
      <c r="M4" s="25"/>
      <c r="N4" s="25">
        <f>-(J4-G4-F4)</f>
        <v>-10.1</v>
      </c>
      <c r="O4" s="25"/>
    </row>
    <row r="5" ht="21.2" customHeight="1">
      <c r="B5" s="27"/>
      <c r="C5" s="15">
        <f>284-C4</f>
        <v>163.1</v>
      </c>
      <c r="D5" s="16">
        <f>33.9-D4</f>
        <v>25.52</v>
      </c>
      <c r="E5" s="16">
        <f>-60.29-E4</f>
        <v>-28</v>
      </c>
      <c r="F5" s="16">
        <v>-17</v>
      </c>
      <c r="G5" s="16"/>
      <c r="H5" s="16"/>
      <c r="I5" s="16"/>
      <c r="J5" s="16">
        <f>20.45-J4</f>
        <v>18.35</v>
      </c>
      <c r="K5" s="34">
        <f>F5+G5+D5+E5</f>
        <v>-19.48</v>
      </c>
      <c r="L5" s="34"/>
      <c r="M5" s="16"/>
      <c r="N5" s="16">
        <f>-(J5-F5-G5)+N4</f>
        <v>-45.45</v>
      </c>
      <c r="O5" s="16"/>
    </row>
    <row r="6" ht="21.2" customHeight="1">
      <c r="B6" s="27"/>
      <c r="C6" s="15">
        <f>434.3-SUM(C4:C5)</f>
        <v>150.3</v>
      </c>
      <c r="D6" s="16">
        <f>43.39-SUM(D4:D5)</f>
        <v>9.49</v>
      </c>
      <c r="E6" s="16">
        <f>-109.98-SUM(E4:E5)</f>
        <v>-49.69</v>
      </c>
      <c r="F6" s="16">
        <v>-6</v>
      </c>
      <c r="G6" s="16"/>
      <c r="H6" s="16"/>
      <c r="I6" s="16"/>
      <c r="J6" s="16">
        <f>67-SUM(J4:J5)</f>
        <v>46.55</v>
      </c>
      <c r="K6" s="34">
        <f>F6+G6+D6+E6</f>
        <v>-46.2</v>
      </c>
      <c r="L6" s="34"/>
      <c r="M6" s="16"/>
      <c r="N6" s="16">
        <f>-(J6-F6-G6)+N5</f>
        <v>-98</v>
      </c>
      <c r="O6" s="16"/>
    </row>
    <row r="7" ht="21.2" customHeight="1">
      <c r="B7" s="27"/>
      <c r="C7" s="15">
        <f>602.95-SUM(C4:C6)</f>
        <v>168.65</v>
      </c>
      <c r="D7" s="16">
        <f>24.55-SUM(D4:D6)</f>
        <v>-18.84</v>
      </c>
      <c r="E7" s="16">
        <f>-142.39-SUM(E4:E6)</f>
        <v>-32.41</v>
      </c>
      <c r="F7" s="16">
        <v>-11</v>
      </c>
      <c r="G7" s="16"/>
      <c r="H7" s="16"/>
      <c r="I7" s="16"/>
      <c r="J7" s="16">
        <f>116.66-SUM(J4:J6)</f>
        <v>49.66</v>
      </c>
      <c r="K7" s="34">
        <f>F7+G7+D7+E7</f>
        <v>-62.25</v>
      </c>
      <c r="L7" s="34"/>
      <c r="M7" s="16"/>
      <c r="N7" s="16">
        <f>-(J7-F7-G7)+N6</f>
        <v>-158.66</v>
      </c>
      <c r="O7" s="16"/>
    </row>
    <row r="8" ht="21.2" customHeight="1">
      <c r="B8" s="28">
        <v>2017</v>
      </c>
      <c r="C8" s="15">
        <v>179</v>
      </c>
      <c r="D8" s="16">
        <v>31.18</v>
      </c>
      <c r="E8" s="16">
        <v>-22.118</v>
      </c>
      <c r="F8" s="16">
        <v>-9</v>
      </c>
      <c r="G8" s="16"/>
      <c r="H8" s="16"/>
      <c r="I8" s="16"/>
      <c r="J8" s="16">
        <v>27.7</v>
      </c>
      <c r="K8" s="34">
        <f>F8+G8+D8+E8</f>
        <v>0.062</v>
      </c>
      <c r="L8" s="34">
        <f>AVERAGE(K5:K8)</f>
        <v>-31.967</v>
      </c>
      <c r="M8" s="16"/>
      <c r="N8" s="16">
        <f>-(J8-F8-G8)+N7</f>
        <v>-195.36</v>
      </c>
      <c r="O8" s="16"/>
    </row>
    <row r="9" ht="21.2" customHeight="1">
      <c r="B9" s="27"/>
      <c r="C9" s="15">
        <f>407.73-C8</f>
        <v>228.73</v>
      </c>
      <c r="D9" s="16">
        <f>42.58-D8</f>
        <v>11.4</v>
      </c>
      <c r="E9" s="16">
        <f>-30.68-E8</f>
        <v>-8.561999999999999</v>
      </c>
      <c r="F9" s="16">
        <v>-15</v>
      </c>
      <c r="G9" s="16"/>
      <c r="H9" s="16"/>
      <c r="I9" s="16"/>
      <c r="J9" s="16">
        <f>24.97-J8</f>
        <v>-2.73</v>
      </c>
      <c r="K9" s="34">
        <f>F9+G9+D9+E9</f>
        <v>-12.162</v>
      </c>
      <c r="L9" s="34">
        <f>AVERAGE(K6:K9)</f>
        <v>-30.1375</v>
      </c>
      <c r="M9" s="16"/>
      <c r="N9" s="16">
        <f>-(J9-F9-G9)+N8</f>
        <v>-207.63</v>
      </c>
      <c r="O9" s="16"/>
    </row>
    <row r="10" ht="21.2" customHeight="1">
      <c r="B10" s="27"/>
      <c r="C10" s="15">
        <f>644.4-SUM(C8:C9)</f>
        <v>236.67</v>
      </c>
      <c r="D10" s="16">
        <f>105.3-SUM(D8:D9)</f>
        <v>62.72</v>
      </c>
      <c r="E10" s="16">
        <f>105-SUM(E8:E9)</f>
        <v>135.68</v>
      </c>
      <c r="F10" s="16">
        <v>-15</v>
      </c>
      <c r="G10" s="16"/>
      <c r="H10" s="16"/>
      <c r="I10" s="16"/>
      <c r="J10" s="16">
        <f>10.99-SUM(J8:J9)</f>
        <v>-13.98</v>
      </c>
      <c r="K10" s="34">
        <f>F10+G10+D10+E10</f>
        <v>183.4</v>
      </c>
      <c r="L10" s="34">
        <f>AVERAGE(K7:K10)</f>
        <v>27.2625</v>
      </c>
      <c r="M10" s="16"/>
      <c r="N10" s="16">
        <f>-(J10-F10-G10)+N9</f>
        <v>-208.65</v>
      </c>
      <c r="O10" s="16"/>
    </row>
    <row r="11" ht="21.2" customHeight="1">
      <c r="B11" s="27"/>
      <c r="C11" s="15">
        <f>1035.86-SUM(C8:C10)</f>
        <v>391.46</v>
      </c>
      <c r="D11" s="16">
        <f>225-SUM(D8:D10)</f>
        <v>119.7</v>
      </c>
      <c r="E11" s="16">
        <f>-243-SUM(E8:E10)</f>
        <v>-348</v>
      </c>
      <c r="F11" s="16">
        <v>-21</v>
      </c>
      <c r="G11" s="16"/>
      <c r="H11" s="16"/>
      <c r="I11" s="16"/>
      <c r="J11" s="16">
        <f>122.7-SUM(J8:J10)</f>
        <v>111.71</v>
      </c>
      <c r="K11" s="34">
        <f>F11+G11+D11+E11</f>
        <v>-249.3</v>
      </c>
      <c r="L11" s="34">
        <f>AVERAGE(K8:K11)</f>
        <v>-19.5</v>
      </c>
      <c r="M11" s="16"/>
      <c r="N11" s="16">
        <f>-(J11-F11-G11)+N10</f>
        <v>-341.36</v>
      </c>
      <c r="O11" s="16"/>
    </row>
    <row r="12" ht="21.2" customHeight="1">
      <c r="B12" s="28">
        <v>2018</v>
      </c>
      <c r="C12" s="15">
        <v>363</v>
      </c>
      <c r="D12" s="16">
        <f>90.6</f>
        <v>90.59999999999999</v>
      </c>
      <c r="E12" s="16">
        <v>-89</v>
      </c>
      <c r="F12" s="16">
        <v>-10</v>
      </c>
      <c r="G12" s="16"/>
      <c r="H12" s="16"/>
      <c r="I12" s="16"/>
      <c r="J12" s="16">
        <v>129</v>
      </c>
      <c r="K12" s="34">
        <f>F12+G12+D12+E12</f>
        <v>-8.4</v>
      </c>
      <c r="L12" s="34">
        <f>AVERAGE(K9:K12)</f>
        <v>-21.6155</v>
      </c>
      <c r="M12" s="16"/>
      <c r="N12" s="16">
        <f>-(J12-F12-G12)+N11</f>
        <v>-480.36</v>
      </c>
      <c r="O12" s="16"/>
    </row>
    <row r="13" ht="21.2" customHeight="1">
      <c r="B13" s="27"/>
      <c r="C13" s="15">
        <f>665.4-C12</f>
        <v>302.4</v>
      </c>
      <c r="D13" s="16">
        <f>11.5-D12</f>
        <v>-79.09999999999999</v>
      </c>
      <c r="E13" s="16">
        <f>-181.2-E12</f>
        <v>-92.2</v>
      </c>
      <c r="F13" s="16">
        <v>-21</v>
      </c>
      <c r="G13" s="16"/>
      <c r="H13" s="16"/>
      <c r="I13" s="16"/>
      <c r="J13" s="16">
        <f>158.9-J12</f>
        <v>29.9</v>
      </c>
      <c r="K13" s="34">
        <f>F13+G13+D13+E13</f>
        <v>-192.3</v>
      </c>
      <c r="L13" s="34">
        <f>AVERAGE(K10:K13)</f>
        <v>-66.65000000000001</v>
      </c>
      <c r="M13" s="16"/>
      <c r="N13" s="16">
        <f>-(J13-F13-G13)+N12</f>
        <v>-531.26</v>
      </c>
      <c r="O13" s="16"/>
    </row>
    <row r="14" ht="21.2" customHeight="1">
      <c r="B14" s="27"/>
      <c r="C14" s="15">
        <f>994.4-SUM(C12:C13)</f>
        <v>329</v>
      </c>
      <c r="D14" s="16">
        <f>82.1-SUM(D12:D13)</f>
        <v>70.59999999999999</v>
      </c>
      <c r="E14" s="16">
        <f>-234.4-SUM(E12:E13)</f>
        <v>-53.2</v>
      </c>
      <c r="F14" s="16">
        <v>-30</v>
      </c>
      <c r="G14" s="16"/>
      <c r="H14" s="16"/>
      <c r="I14" s="16"/>
      <c r="J14" s="16">
        <f>153.7-SUM(J12:J13)</f>
        <v>-5.2</v>
      </c>
      <c r="K14" s="34">
        <f>F14+G14+D14+E14</f>
        <v>-12.6</v>
      </c>
      <c r="L14" s="34">
        <f>AVERAGE(K11:K14)</f>
        <v>-115.65</v>
      </c>
      <c r="M14" s="16"/>
      <c r="N14" s="16">
        <f>-(J14-F14-G14)+N13</f>
        <v>-556.0599999999999</v>
      </c>
      <c r="O14" s="16"/>
    </row>
    <row r="15" ht="21.2" customHeight="1">
      <c r="B15" s="27"/>
      <c r="C15" s="15">
        <f>1358.8-SUM(C12:C14)</f>
        <v>364.4</v>
      </c>
      <c r="D15" s="16">
        <f>136.4-SUM(D12:D14)</f>
        <v>54.3</v>
      </c>
      <c r="E15" s="16">
        <f>-374.9-SUM(E12:E14)</f>
        <v>-140.5</v>
      </c>
      <c r="F15" s="16">
        <v>-19</v>
      </c>
      <c r="G15" s="16"/>
      <c r="H15" s="16"/>
      <c r="I15" s="16"/>
      <c r="J15" s="16">
        <f>203.7-SUM(J12:J14)</f>
        <v>50</v>
      </c>
      <c r="K15" s="34">
        <f>F15+G15+D15+E15</f>
        <v>-105.2</v>
      </c>
      <c r="L15" s="34">
        <f>AVERAGE(K12:K15)</f>
        <v>-79.625</v>
      </c>
      <c r="M15" s="16"/>
      <c r="N15" s="16">
        <f>-(J15-F15-G15)+N14</f>
        <v>-625.0599999999999</v>
      </c>
      <c r="O15" s="16"/>
    </row>
    <row r="16" ht="21.2" customHeight="1">
      <c r="B16" s="28">
        <v>2019</v>
      </c>
      <c r="C16" s="15">
        <v>365</v>
      </c>
      <c r="D16" s="16">
        <f>43.1</f>
        <v>43.1</v>
      </c>
      <c r="E16" s="16">
        <v>-12.6</v>
      </c>
      <c r="F16" s="16">
        <v>-30</v>
      </c>
      <c r="G16" s="16">
        <v>0</v>
      </c>
      <c r="H16" s="16"/>
      <c r="I16" s="16"/>
      <c r="J16" s="16">
        <v>25</v>
      </c>
      <c r="K16" s="34">
        <f>F16+G16+D16+E16</f>
        <v>0.5</v>
      </c>
      <c r="L16" s="34">
        <f>AVERAGE(K13:K16)</f>
        <v>-77.40000000000001</v>
      </c>
      <c r="M16" s="16"/>
      <c r="N16" s="16">
        <f>-(J16-F16-G16)+N15</f>
        <v>-680.0599999999999</v>
      </c>
      <c r="O16" s="16"/>
    </row>
    <row r="17" ht="21.2" customHeight="1">
      <c r="B17" s="27"/>
      <c r="C17" s="15">
        <f>729.2-C16</f>
        <v>364.2</v>
      </c>
      <c r="D17" s="16">
        <f>51.2-D16</f>
        <v>8.1</v>
      </c>
      <c r="E17" s="16">
        <f>-32.8-E16</f>
        <v>-20.2</v>
      </c>
      <c r="F17" s="16">
        <v>-16</v>
      </c>
      <c r="G17" s="16">
        <f>-0.2-G16</f>
        <v>-0.2</v>
      </c>
      <c r="H17" s="16"/>
      <c r="I17" s="16"/>
      <c r="J17" s="16">
        <f>155-J16</f>
        <v>130</v>
      </c>
      <c r="K17" s="34">
        <f>F17+G17+D17+E17</f>
        <v>-28.3</v>
      </c>
      <c r="L17" s="34">
        <f>AVERAGE(K14:K17)</f>
        <v>-36.4</v>
      </c>
      <c r="M17" s="16"/>
      <c r="N17" s="16">
        <f>-(J17-F17-G17)+N16</f>
        <v>-826.26</v>
      </c>
      <c r="O17" s="16"/>
    </row>
    <row r="18" ht="21.2" customHeight="1">
      <c r="B18" s="27"/>
      <c r="C18" s="15">
        <f>1081.9-SUM(C16:C17)</f>
        <v>352.7</v>
      </c>
      <c r="D18" s="16">
        <f>165.2-SUM(D16:D17)</f>
        <v>114</v>
      </c>
      <c r="E18" s="16">
        <f>-105.9-SUM(E16:E17)</f>
        <v>-73.09999999999999</v>
      </c>
      <c r="F18" s="16">
        <v>-29</v>
      </c>
      <c r="G18" s="16">
        <f>-0.4-SUM(G16:G17)</f>
        <v>-0.2</v>
      </c>
      <c r="H18" s="16"/>
      <c r="I18" s="16"/>
      <c r="J18" s="16">
        <f>12.4-SUM(J16:J17)</f>
        <v>-142.6</v>
      </c>
      <c r="K18" s="34">
        <f>F18+G18+D18+E18</f>
        <v>11.7</v>
      </c>
      <c r="L18" s="34">
        <f>AVERAGE(K15:K18)</f>
        <v>-30.325</v>
      </c>
      <c r="M18" s="16"/>
      <c r="N18" s="16">
        <f>-(J18-F18-G18)+N17</f>
        <v>-712.86</v>
      </c>
      <c r="O18" s="16"/>
    </row>
    <row r="19" ht="21.2" customHeight="1">
      <c r="B19" s="27"/>
      <c r="C19" s="15">
        <f>1527.5-SUM(C16:C18)</f>
        <v>445.6</v>
      </c>
      <c r="D19" s="16">
        <f>217.5-SUM(D16:D18)</f>
        <v>52.3</v>
      </c>
      <c r="E19" s="16">
        <f>-134-SUM(E16:E18)</f>
        <v>-28.1</v>
      </c>
      <c r="F19" s="16">
        <v>-26</v>
      </c>
      <c r="G19" s="16">
        <f>-0.6-SUM(G16:G18)</f>
        <v>-0.2</v>
      </c>
      <c r="H19" s="16"/>
      <c r="I19" s="16"/>
      <c r="J19" s="16">
        <f>19-SUM(J16:J18)</f>
        <v>6.6</v>
      </c>
      <c r="K19" s="34">
        <f>F19+G19+D19+E19</f>
        <v>-2</v>
      </c>
      <c r="L19" s="34">
        <f>AVERAGE(K16:K19)</f>
        <v>-4.525</v>
      </c>
      <c r="M19" s="16"/>
      <c r="N19" s="16">
        <f>-(J19-F19-G19)+N18</f>
        <v>-745.66</v>
      </c>
      <c r="O19" s="16"/>
    </row>
    <row r="20" ht="21.2" customHeight="1">
      <c r="B20" s="28">
        <v>2020</v>
      </c>
      <c r="C20" s="15">
        <v>450.1</v>
      </c>
      <c r="D20" s="16">
        <f>106.4</f>
        <v>106.4</v>
      </c>
      <c r="E20" s="16">
        <v>-47.1</v>
      </c>
      <c r="F20" s="16">
        <v>-25</v>
      </c>
      <c r="G20" s="16">
        <v>-0.9</v>
      </c>
      <c r="H20" s="16"/>
      <c r="I20" s="16"/>
      <c r="J20" s="16">
        <v>-51.2</v>
      </c>
      <c r="K20" s="34">
        <f>F20+G20+D20+E20</f>
        <v>33.4</v>
      </c>
      <c r="L20" s="34">
        <f>AVERAGE(K17:K20)</f>
        <v>3.7</v>
      </c>
      <c r="M20" s="16"/>
      <c r="N20" s="16">
        <f>-(J20-F20-G20)+N19</f>
        <v>-720.36</v>
      </c>
      <c r="O20" s="16"/>
    </row>
    <row r="21" ht="21.2" customHeight="1">
      <c r="B21" s="27"/>
      <c r="C21" s="15">
        <f>843-C20</f>
        <v>392.9</v>
      </c>
      <c r="D21" s="16">
        <f>148.4-D20</f>
        <v>42</v>
      </c>
      <c r="E21" s="16">
        <f>-111.4-E20</f>
        <v>-64.3</v>
      </c>
      <c r="F21" s="16">
        <v>-20</v>
      </c>
      <c r="G21" s="16">
        <f>-0.4-G20</f>
        <v>0.5</v>
      </c>
      <c r="H21" s="16"/>
      <c r="I21" s="16"/>
      <c r="J21" s="16">
        <f>-22-J20</f>
        <v>29.2</v>
      </c>
      <c r="K21" s="34">
        <f>F21+G21+D21+E21</f>
        <v>-41.8</v>
      </c>
      <c r="L21" s="34">
        <f>AVERAGE(K18:K21)</f>
        <v>0.325</v>
      </c>
      <c r="M21" s="16"/>
      <c r="N21" s="16">
        <f>-(J21-F21-G21)+N20</f>
        <v>-769.0599999999999</v>
      </c>
      <c r="O21" s="16"/>
    </row>
    <row r="22" ht="21.2" customHeight="1">
      <c r="B22" s="27"/>
      <c r="C22" s="15">
        <f>1180.4-SUM(C20:C21)</f>
        <v>337.4</v>
      </c>
      <c r="D22" s="16">
        <f>250.9-SUM(D20:D21)</f>
        <v>102.5</v>
      </c>
      <c r="E22" s="16">
        <f>-182-SUM(E20:E21)</f>
        <v>-70.59999999999999</v>
      </c>
      <c r="F22" s="16">
        <v>-23</v>
      </c>
      <c r="G22" s="16">
        <f>-0.6-SUM(G20:G21)</f>
        <v>-0.2</v>
      </c>
      <c r="H22" s="16"/>
      <c r="I22" s="16"/>
      <c r="J22" s="16">
        <f>-72.2-SUM(J20:J21)</f>
        <v>-50.2</v>
      </c>
      <c r="K22" s="34">
        <f>F22+G22+D22+E22</f>
        <v>8.699999999999999</v>
      </c>
      <c r="L22" s="34">
        <f>AVERAGE(K19:K22)</f>
        <v>-0.425</v>
      </c>
      <c r="M22" s="16"/>
      <c r="N22" s="16">
        <f>-(J22-F22-G22)+N21</f>
        <v>-742.0599999999999</v>
      </c>
      <c r="O22" s="16"/>
    </row>
    <row r="23" ht="21.2" customHeight="1">
      <c r="B23" s="27"/>
      <c r="C23" s="35">
        <f>1550.8-SUM(C20:C22)</f>
        <v>370.4</v>
      </c>
      <c r="D23" s="34">
        <f>0.3-SUM(D20:D22)</f>
        <v>-250.6</v>
      </c>
      <c r="E23" s="34">
        <f>7.4-SUM(E20:E22)</f>
        <v>189.4</v>
      </c>
      <c r="F23" s="34">
        <f>-81.8-SUM(F20:F22)</f>
        <v>-13.8</v>
      </c>
      <c r="G23" s="34">
        <f>-3-SUM(G20:G22)</f>
        <v>-2.4</v>
      </c>
      <c r="H23" s="34"/>
      <c r="I23" s="34"/>
      <c r="J23" s="34">
        <f>-49.6-SUM(J20:J22)</f>
        <v>22.6</v>
      </c>
      <c r="K23" s="34">
        <f>F23+G23+D23+E23</f>
        <v>-77.40000000000001</v>
      </c>
      <c r="L23" s="34">
        <f>AVERAGE(K20:K23)</f>
        <v>-19.275</v>
      </c>
      <c r="M23" s="16"/>
      <c r="N23" s="16">
        <f>-(J23-F23-G23)+N22</f>
        <v>-780.86</v>
      </c>
      <c r="O23" s="16"/>
    </row>
    <row r="24" ht="21.2" customHeight="1">
      <c r="B24" s="28">
        <v>2021</v>
      </c>
      <c r="C24" s="35">
        <v>508.5</v>
      </c>
      <c r="D24" s="34">
        <v>137.6</v>
      </c>
      <c r="E24" s="34">
        <v>-111</v>
      </c>
      <c r="F24" s="34">
        <v>-24</v>
      </c>
      <c r="G24" s="34">
        <v>-0.5</v>
      </c>
      <c r="H24" s="34">
        <f>-188.366-F24-G24-I24</f>
        <v>-156.785</v>
      </c>
      <c r="I24" s="34">
        <f>2.126-9.207</f>
        <v>-7.081</v>
      </c>
      <c r="J24" s="34">
        <v>-188.4</v>
      </c>
      <c r="K24" s="34">
        <f>F24+G24+D24+E24</f>
        <v>2.1</v>
      </c>
      <c r="L24" s="34">
        <f>AVERAGE(K21:K24)</f>
        <v>-27.1</v>
      </c>
      <c r="M24" s="16"/>
      <c r="N24" s="16">
        <f>-(J24-F24-G24)+N23</f>
        <v>-616.96</v>
      </c>
      <c r="O24" s="16"/>
    </row>
    <row r="25" ht="21.2" customHeight="1">
      <c r="B25" s="27"/>
      <c r="C25" s="35">
        <f>948.1-C24</f>
        <v>439.6</v>
      </c>
      <c r="D25" s="34">
        <f>175.2-D24</f>
        <v>37.6</v>
      </c>
      <c r="E25" s="34">
        <f>-162.1-E24</f>
        <v>-51.1</v>
      </c>
      <c r="F25" s="34">
        <f>-47.9-F24</f>
        <v>-23.9</v>
      </c>
      <c r="G25" s="34">
        <f>-1.4-G24</f>
        <v>-0.9</v>
      </c>
      <c r="H25" s="34">
        <f>-270.399-F25-G25-F24-G24-H24-I25-I24</f>
        <v>-9.422000000000001</v>
      </c>
      <c r="I25" s="34">
        <f>6.38+5.82-67.092-I24</f>
        <v>-47.811</v>
      </c>
      <c r="J25" s="34">
        <f>-270.4-J24</f>
        <v>-82</v>
      </c>
      <c r="K25" s="34">
        <f>F25+G25+D25+E25</f>
        <v>-38.3</v>
      </c>
      <c r="L25" s="34">
        <f>AVERAGE(K22:K25)</f>
        <v>-26.225</v>
      </c>
      <c r="M25" s="16"/>
      <c r="N25" s="16">
        <f>-(J25-F25-G25)+N24</f>
        <v>-559.76</v>
      </c>
      <c r="O25" s="16"/>
    </row>
    <row r="26" ht="21.2" customHeight="1">
      <c r="B26" s="27"/>
      <c r="C26" s="35">
        <f>1415.8-SUM(C24:C25)</f>
        <v>467.7</v>
      </c>
      <c r="D26" s="34">
        <f>220.1-SUM(D24:D25)</f>
        <v>44.9</v>
      </c>
      <c r="E26" s="34">
        <f>-188.8-SUM(E24:E25)</f>
        <v>-26.7</v>
      </c>
      <c r="F26" s="34">
        <f>-58.2-SUM(F24:F25)</f>
        <v>-10.3</v>
      </c>
      <c r="G26" s="34">
        <f>-2.4-SUM(G24:G25)</f>
        <v>-1</v>
      </c>
      <c r="H26" s="34">
        <f>-225.25-F26-G26-F25-G25-F24-G24-H25-H24-I26-I25-I24</f>
        <v>132.176</v>
      </c>
      <c r="I26" s="34">
        <f>8.115+6.38-90.222</f>
        <v>-75.727</v>
      </c>
      <c r="J26" s="34">
        <f>-225.2-SUM(J24:J25)</f>
        <v>45.2</v>
      </c>
      <c r="K26" s="34">
        <f>F26+G26+D26+E26</f>
        <v>6.9</v>
      </c>
      <c r="L26" s="34">
        <f>AVERAGE(K23:K26)</f>
        <v>-26.675</v>
      </c>
      <c r="M26" s="16"/>
      <c r="N26" s="16">
        <f>-(J26-F26-G26)+N25</f>
        <v>-616.26</v>
      </c>
      <c r="O26" s="16"/>
    </row>
    <row r="27" ht="21.2" customHeight="1">
      <c r="B27" s="27"/>
      <c r="C27" s="35">
        <f>2088.1-SUM(C24:C26)</f>
        <v>672.3</v>
      </c>
      <c r="D27" s="34">
        <f>437-SUM(D24:D26)</f>
        <v>216.9</v>
      </c>
      <c r="E27" s="34">
        <f>-211-SUM(E24:E26)</f>
        <v>-22.2</v>
      </c>
      <c r="F27" s="34">
        <f>-81.1-SUM(F24:F26)</f>
        <v>-22.9</v>
      </c>
      <c r="G27" s="34">
        <f>-3.1-SUM(G24:G26)</f>
        <v>-0.7</v>
      </c>
      <c r="H27" s="34">
        <f>J27-I27-F27-G27</f>
        <v>-103.719</v>
      </c>
      <c r="I27" s="34">
        <f>50-30-113.1-SUM(I24:I26)</f>
        <v>37.519</v>
      </c>
      <c r="J27" s="34">
        <f>-315-SUM(J24:J26)</f>
        <v>-89.8</v>
      </c>
      <c r="K27" s="34">
        <f>F27+G27+D27+E27</f>
        <v>171.1</v>
      </c>
      <c r="L27" s="34">
        <f>AVERAGE(K24:K27)</f>
        <v>35.45</v>
      </c>
      <c r="M27" s="16">
        <f>L27</f>
        <v>35.45</v>
      </c>
      <c r="N27" s="16">
        <f>-(J27-F27-G27)+N26</f>
        <v>-550.0599999999999</v>
      </c>
      <c r="O27" s="16">
        <f>N27</f>
        <v>-550.0599999999999</v>
      </c>
    </row>
    <row r="28" ht="21.2" customHeight="1">
      <c r="B28" s="28">
        <v>2022</v>
      </c>
      <c r="C28" s="35"/>
      <c r="D28" s="34"/>
      <c r="E28" s="34"/>
      <c r="F28" s="34"/>
      <c r="G28" s="34"/>
      <c r="H28" s="34"/>
      <c r="I28" s="34"/>
      <c r="J28" s="34"/>
      <c r="K28" s="34"/>
      <c r="L28" s="18"/>
      <c r="M28" s="34">
        <f>SUM('Model'!F9:F11)</f>
        <v>136.269785252268</v>
      </c>
      <c r="N28" s="18"/>
      <c r="O28" s="16">
        <f>'Model'!F34</f>
        <v>-268.400800380345</v>
      </c>
    </row>
  </sheetData>
  <mergeCells count="1">
    <mergeCell ref="B2:O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6" customWidth="1"/>
    <col min="2" max="11" width="9.21875" style="36" customWidth="1"/>
    <col min="12" max="16384" width="16.3516" style="36" customWidth="1"/>
  </cols>
  <sheetData>
    <row r="1" ht="7.5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51</v>
      </c>
      <c r="D3" t="s" s="5">
        <v>52</v>
      </c>
      <c r="E3" t="s" s="5">
        <v>22</v>
      </c>
      <c r="F3" t="s" s="5">
        <v>23</v>
      </c>
      <c r="G3" t="s" s="5">
        <v>12</v>
      </c>
      <c r="H3" t="s" s="5">
        <v>13</v>
      </c>
      <c r="I3" t="s" s="5">
        <v>53</v>
      </c>
      <c r="J3" t="s" s="5">
        <v>26</v>
      </c>
      <c r="K3" t="s" s="5">
        <v>35</v>
      </c>
    </row>
    <row r="4" ht="20.25" customHeight="1">
      <c r="B4" s="22">
        <v>2016</v>
      </c>
      <c r="C4" s="32">
        <v>136</v>
      </c>
      <c r="D4" s="25">
        <v>1796</v>
      </c>
      <c r="E4" s="25">
        <f>D4-C4</f>
        <v>1660</v>
      </c>
      <c r="F4" s="25"/>
      <c r="G4" s="25">
        <v>872</v>
      </c>
      <c r="H4" s="25">
        <v>924</v>
      </c>
      <c r="I4" s="25">
        <f>G4+H4-C4-E4</f>
        <v>0</v>
      </c>
      <c r="J4" s="25">
        <f>C4-G4</f>
        <v>-736</v>
      </c>
      <c r="K4" s="25"/>
    </row>
    <row r="5" ht="20.05" customHeight="1">
      <c r="B5" s="27"/>
      <c r="C5" s="15">
        <v>148</v>
      </c>
      <c r="D5" s="16">
        <v>1846</v>
      </c>
      <c r="E5" s="16">
        <f>D5-C5</f>
        <v>1698</v>
      </c>
      <c r="F5" s="16"/>
      <c r="G5" s="16">
        <v>914</v>
      </c>
      <c r="H5" s="16">
        <v>932</v>
      </c>
      <c r="I5" s="16">
        <f>G5+H5-C5-E5</f>
        <v>0</v>
      </c>
      <c r="J5" s="16">
        <f>C5-G5</f>
        <v>-766</v>
      </c>
      <c r="K5" s="16"/>
    </row>
    <row r="6" ht="20.05" customHeight="1">
      <c r="B6" s="27"/>
      <c r="C6" s="15">
        <v>154</v>
      </c>
      <c r="D6" s="16">
        <v>1895</v>
      </c>
      <c r="E6" s="16">
        <f>D6-C6</f>
        <v>1741</v>
      </c>
      <c r="F6" s="16"/>
      <c r="G6" s="16">
        <v>956</v>
      </c>
      <c r="H6" s="16">
        <v>939</v>
      </c>
      <c r="I6" s="16">
        <f>G6+H6-C6-E6</f>
        <v>0</v>
      </c>
      <c r="J6" s="16">
        <f>C6-G6</f>
        <v>-802</v>
      </c>
      <c r="K6" s="16"/>
    </row>
    <row r="7" ht="20.05" customHeight="1">
      <c r="B7" s="27"/>
      <c r="C7" s="15">
        <v>153</v>
      </c>
      <c r="D7" s="16">
        <v>2233</v>
      </c>
      <c r="E7" s="16">
        <f>D7-C7</f>
        <v>2080</v>
      </c>
      <c r="F7" s="16">
        <f>114+88</f>
        <v>202</v>
      </c>
      <c r="G7" s="16">
        <v>948</v>
      </c>
      <c r="H7" s="16">
        <v>1285</v>
      </c>
      <c r="I7" s="16">
        <f>G7+H7-C7-E7</f>
        <v>0</v>
      </c>
      <c r="J7" s="16">
        <f>C7-G7</f>
        <v>-795</v>
      </c>
      <c r="K7" s="16"/>
    </row>
    <row r="8" ht="20.05" customHeight="1">
      <c r="B8" s="28">
        <v>2017</v>
      </c>
      <c r="C8" s="15">
        <v>185</v>
      </c>
      <c r="D8" s="16">
        <v>2378</v>
      </c>
      <c r="E8" s="16">
        <f>D8-C8</f>
        <v>2193</v>
      </c>
      <c r="F8" s="16"/>
      <c r="G8" s="16">
        <v>1059</v>
      </c>
      <c r="H8" s="16">
        <v>1319</v>
      </c>
      <c r="I8" s="16">
        <f>G8+H8-C8-E8</f>
        <v>0</v>
      </c>
      <c r="J8" s="16">
        <f>C8-G8</f>
        <v>-874</v>
      </c>
      <c r="K8" s="16"/>
    </row>
    <row r="9" ht="20.05" customHeight="1">
      <c r="B9" s="27"/>
      <c r="C9" s="15">
        <v>190</v>
      </c>
      <c r="D9" s="16">
        <v>2432</v>
      </c>
      <c r="E9" s="16">
        <f>D9-C9</f>
        <v>2242</v>
      </c>
      <c r="F9" s="16"/>
      <c r="G9" s="16">
        <v>1063</v>
      </c>
      <c r="H9" s="16">
        <v>1369</v>
      </c>
      <c r="I9" s="16">
        <f>G9+H9-C9-E9</f>
        <v>0</v>
      </c>
      <c r="J9" s="16">
        <f>C9-G9</f>
        <v>-873</v>
      </c>
      <c r="K9" s="16"/>
    </row>
    <row r="10" ht="20.05" customHeight="1">
      <c r="B10" s="27"/>
      <c r="C10" s="15">
        <v>164</v>
      </c>
      <c r="D10" s="16">
        <v>2547</v>
      </c>
      <c r="E10" s="16">
        <f>D10-C10</f>
        <v>2383</v>
      </c>
      <c r="F10" s="16"/>
      <c r="G10" s="16">
        <v>1117</v>
      </c>
      <c r="H10" s="16">
        <v>1430</v>
      </c>
      <c r="I10" s="16">
        <f>G10+H10-C10-E10</f>
        <v>0</v>
      </c>
      <c r="J10" s="16">
        <f>C10-G10</f>
        <v>-953</v>
      </c>
      <c r="K10" s="16"/>
    </row>
    <row r="11" ht="20.05" customHeight="1">
      <c r="B11" s="27"/>
      <c r="C11" s="15">
        <v>258</v>
      </c>
      <c r="D11" s="16">
        <v>2737</v>
      </c>
      <c r="E11" s="16">
        <f>D11-C11</f>
        <v>2479</v>
      </c>
      <c r="F11" s="16">
        <f>152+96</f>
        <v>248</v>
      </c>
      <c r="G11" s="16">
        <v>1283</v>
      </c>
      <c r="H11" s="16">
        <v>1454</v>
      </c>
      <c r="I11" s="16">
        <f>G11+H11-C11-E11</f>
        <v>0</v>
      </c>
      <c r="J11" s="16">
        <f>C11-G11</f>
        <v>-1025</v>
      </c>
      <c r="K11" s="16"/>
    </row>
    <row r="12" ht="20.05" customHeight="1">
      <c r="B12" s="28">
        <v>2018</v>
      </c>
      <c r="C12" s="15">
        <v>380</v>
      </c>
      <c r="D12" s="16">
        <v>2955</v>
      </c>
      <c r="E12" s="16">
        <f>D12-C12</f>
        <v>2575</v>
      </c>
      <c r="F12" s="16">
        <f>161+97</f>
        <v>258</v>
      </c>
      <c r="G12" s="16">
        <v>1455</v>
      </c>
      <c r="H12" s="16">
        <v>1500</v>
      </c>
      <c r="I12" s="16">
        <f>G12+H12-C12-E12</f>
        <v>0</v>
      </c>
      <c r="J12" s="16">
        <f>C12-G12</f>
        <v>-1075</v>
      </c>
      <c r="K12" s="16"/>
    </row>
    <row r="13" ht="20.05" customHeight="1">
      <c r="B13" s="27"/>
      <c r="C13" s="15">
        <v>247</v>
      </c>
      <c r="D13" s="16">
        <v>2927</v>
      </c>
      <c r="E13" s="16">
        <f>D13-C13</f>
        <v>2680</v>
      </c>
      <c r="F13" s="16">
        <f>170+98</f>
        <v>268</v>
      </c>
      <c r="G13" s="16">
        <v>1475</v>
      </c>
      <c r="H13" s="16">
        <v>1452</v>
      </c>
      <c r="I13" s="16">
        <f>G13+H13-C13-E13</f>
        <v>0</v>
      </c>
      <c r="J13" s="16">
        <f>C13-G13</f>
        <v>-1228</v>
      </c>
      <c r="K13" s="16"/>
    </row>
    <row r="14" ht="20.05" customHeight="1">
      <c r="B14" s="27"/>
      <c r="C14" s="15">
        <v>256</v>
      </c>
      <c r="D14" s="16">
        <v>3339</v>
      </c>
      <c r="E14" s="16">
        <f>D14-C14</f>
        <v>3083</v>
      </c>
      <c r="F14" s="16">
        <f>180+99</f>
        <v>279</v>
      </c>
      <c r="G14" s="16">
        <v>1814</v>
      </c>
      <c r="H14" s="16">
        <v>1525</v>
      </c>
      <c r="I14" s="16">
        <f>G14+H14-C14-E14</f>
        <v>0</v>
      </c>
      <c r="J14" s="16">
        <f>C14-G14</f>
        <v>-1558</v>
      </c>
      <c r="K14" s="16"/>
    </row>
    <row r="15" ht="20.05" customHeight="1">
      <c r="B15" s="27"/>
      <c r="C15" s="15">
        <v>223</v>
      </c>
      <c r="D15" s="16">
        <v>3387</v>
      </c>
      <c r="E15" s="16">
        <f>D15-C15</f>
        <v>3164</v>
      </c>
      <c r="F15" s="16">
        <f>191+100</f>
        <v>291</v>
      </c>
      <c r="G15" s="16">
        <v>1874</v>
      </c>
      <c r="H15" s="16">
        <v>1513</v>
      </c>
      <c r="I15" s="16">
        <f>G15+H15-C15-E15</f>
        <v>0</v>
      </c>
      <c r="J15" s="16">
        <f>C15-G15</f>
        <v>-1651</v>
      </c>
      <c r="K15" s="16"/>
    </row>
    <row r="16" ht="20.05" customHeight="1">
      <c r="B16" s="28">
        <v>2019</v>
      </c>
      <c r="C16" s="15">
        <v>278</v>
      </c>
      <c r="D16" s="16">
        <v>3576</v>
      </c>
      <c r="E16" s="16">
        <f>D16-C16</f>
        <v>3298</v>
      </c>
      <c r="F16" s="16">
        <f>201+101</f>
        <v>302</v>
      </c>
      <c r="G16" s="16">
        <v>1997</v>
      </c>
      <c r="H16" s="16">
        <v>1579</v>
      </c>
      <c r="I16" s="16">
        <f>G16+H16-C16-E16</f>
        <v>0</v>
      </c>
      <c r="J16" s="16">
        <f>C16-G16</f>
        <v>-1719</v>
      </c>
      <c r="K16" s="16"/>
    </row>
    <row r="17" ht="20.05" customHeight="1">
      <c r="B17" s="27"/>
      <c r="C17" s="15">
        <v>396</v>
      </c>
      <c r="D17" s="16">
        <v>3800</v>
      </c>
      <c r="E17" s="16">
        <f>D17-C17</f>
        <v>3404</v>
      </c>
      <c r="F17" s="16">
        <f>210+103</f>
        <v>313</v>
      </c>
      <c r="G17" s="16">
        <v>2105</v>
      </c>
      <c r="H17" s="16">
        <v>1695</v>
      </c>
      <c r="I17" s="16">
        <f>G17+H17-C17-E17</f>
        <v>0</v>
      </c>
      <c r="J17" s="16">
        <f>C17-G17</f>
        <v>-1709</v>
      </c>
      <c r="K17" s="16"/>
    </row>
    <row r="18" ht="20.05" customHeight="1">
      <c r="B18" s="27"/>
      <c r="C18" s="15">
        <v>294</v>
      </c>
      <c r="D18" s="16">
        <v>3691</v>
      </c>
      <c r="E18" s="16">
        <f>D18-C18</f>
        <v>3397</v>
      </c>
      <c r="F18" s="16">
        <f>218+107</f>
        <v>325</v>
      </c>
      <c r="G18" s="16">
        <v>2050</v>
      </c>
      <c r="H18" s="16">
        <v>1641</v>
      </c>
      <c r="I18" s="16">
        <f>G18+H18-C18-E18</f>
        <v>0</v>
      </c>
      <c r="J18" s="16">
        <f>C18-G18</f>
        <v>-1756</v>
      </c>
      <c r="K18" s="16"/>
    </row>
    <row r="19" ht="20.05" customHeight="1">
      <c r="B19" s="27"/>
      <c r="C19" s="15">
        <v>326</v>
      </c>
      <c r="D19" s="16">
        <v>3719</v>
      </c>
      <c r="E19" s="16">
        <f>D19-C19</f>
        <v>3393</v>
      </c>
      <c r="F19" s="16">
        <f>229+109</f>
        <v>338</v>
      </c>
      <c r="G19" s="16">
        <v>2081</v>
      </c>
      <c r="H19" s="16">
        <v>1638</v>
      </c>
      <c r="I19" s="16">
        <f>G19+H19-C19-E19</f>
        <v>0</v>
      </c>
      <c r="J19" s="16">
        <f>C19-G19</f>
        <v>-1755</v>
      </c>
      <c r="K19" s="16"/>
    </row>
    <row r="20" ht="20.05" customHeight="1">
      <c r="B20" s="28">
        <v>2020</v>
      </c>
      <c r="C20" s="15">
        <v>331</v>
      </c>
      <c r="D20" s="16">
        <v>3557</v>
      </c>
      <c r="E20" s="16">
        <f>D20-C20</f>
        <v>3226</v>
      </c>
      <c r="F20" s="16">
        <f>231+110</f>
        <v>341</v>
      </c>
      <c r="G20" s="16">
        <v>1989</v>
      </c>
      <c r="H20" s="16">
        <v>1568</v>
      </c>
      <c r="I20" s="16">
        <f>G20+H20-C20-E20</f>
        <v>0</v>
      </c>
      <c r="J20" s="16">
        <f>C20-G20</f>
        <v>-1658</v>
      </c>
      <c r="K20" s="16"/>
    </row>
    <row r="21" ht="20.05" customHeight="1">
      <c r="B21" s="27"/>
      <c r="C21" s="15">
        <v>340</v>
      </c>
      <c r="D21" s="16">
        <v>3848</v>
      </c>
      <c r="E21" s="16">
        <f>D21-C21</f>
        <v>3508</v>
      </c>
      <c r="F21" s="16">
        <f>265+129+5</f>
        <v>399</v>
      </c>
      <c r="G21" s="16">
        <v>2093</v>
      </c>
      <c r="H21" s="16">
        <v>1755</v>
      </c>
      <c r="I21" s="16">
        <f>G21+H21-C21-E21</f>
        <v>0</v>
      </c>
      <c r="J21" s="16">
        <f>C21-G21</f>
        <v>-1753</v>
      </c>
      <c r="K21" s="16"/>
    </row>
    <row r="22" ht="20.05" customHeight="1">
      <c r="B22" s="27"/>
      <c r="C22" s="15">
        <v>321</v>
      </c>
      <c r="D22" s="16">
        <v>3800</v>
      </c>
      <c r="E22" s="16">
        <f>D22-C22</f>
        <v>3479</v>
      </c>
      <c r="F22" s="16">
        <f>274+134</f>
        <v>408</v>
      </c>
      <c r="G22" s="16">
        <v>2071</v>
      </c>
      <c r="H22" s="16">
        <v>1729</v>
      </c>
      <c r="I22" s="16">
        <f>G22+H22-C22-E22</f>
        <v>0</v>
      </c>
      <c r="J22" s="16">
        <f>C22-G22</f>
        <v>-1750</v>
      </c>
      <c r="K22" s="16"/>
    </row>
    <row r="23" ht="20.05" customHeight="1">
      <c r="B23" s="27"/>
      <c r="C23" s="15">
        <v>611</v>
      </c>
      <c r="D23" s="16">
        <v>2900</v>
      </c>
      <c r="E23" s="16">
        <f>D23-C23</f>
        <v>2289</v>
      </c>
      <c r="F23" s="16">
        <f>289+1+145</f>
        <v>435</v>
      </c>
      <c r="G23" s="16">
        <v>1311</v>
      </c>
      <c r="H23" s="16">
        <v>1589</v>
      </c>
      <c r="I23" s="16">
        <f>G23+H23-C23-E23</f>
        <v>0</v>
      </c>
      <c r="J23" s="16">
        <f>C23-G23</f>
        <v>-700</v>
      </c>
      <c r="K23" s="16"/>
    </row>
    <row r="24" ht="20.05" customHeight="1">
      <c r="B24" s="28">
        <v>2021</v>
      </c>
      <c r="C24" s="15">
        <v>448</v>
      </c>
      <c r="D24" s="16">
        <v>2887</v>
      </c>
      <c r="E24" s="16">
        <f>D24-C24</f>
        <v>2439</v>
      </c>
      <c r="F24" s="16">
        <f>299+149+1</f>
        <v>449</v>
      </c>
      <c r="G24" s="16">
        <v>1125</v>
      </c>
      <c r="H24" s="16">
        <v>1762</v>
      </c>
      <c r="I24" s="16">
        <f>G24+H24-C24-E24</f>
        <v>0</v>
      </c>
      <c r="J24" s="16">
        <f>C24-G24</f>
        <v>-677</v>
      </c>
      <c r="K24" s="16"/>
    </row>
    <row r="25" ht="20.05" customHeight="1">
      <c r="B25" s="27"/>
      <c r="C25" s="15">
        <v>352</v>
      </c>
      <c r="D25" s="16">
        <v>3014</v>
      </c>
      <c r="E25" s="16">
        <f>D25-C25</f>
        <v>2662</v>
      </c>
      <c r="F25" s="16">
        <f>1+312+150</f>
        <v>463</v>
      </c>
      <c r="G25" s="16">
        <v>1134</v>
      </c>
      <c r="H25" s="16">
        <v>1880</v>
      </c>
      <c r="I25" s="16">
        <f>G25+H25-C25-E25</f>
        <v>0</v>
      </c>
      <c r="J25" s="16">
        <f>C25-G25</f>
        <v>-782</v>
      </c>
      <c r="K25" s="16"/>
    </row>
    <row r="26" ht="20.05" customHeight="1">
      <c r="B26" s="27"/>
      <c r="C26" s="15">
        <v>416</v>
      </c>
      <c r="D26" s="16">
        <v>3064</v>
      </c>
      <c r="E26" s="16">
        <f>D26-C26</f>
        <v>2648</v>
      </c>
      <c r="F26" s="16">
        <f>327+4+1+156</f>
        <v>488</v>
      </c>
      <c r="G26" s="16">
        <v>1205</v>
      </c>
      <c r="H26" s="16">
        <v>1859</v>
      </c>
      <c r="I26" s="16">
        <f>G26+H26-C26-E26</f>
        <v>0</v>
      </c>
      <c r="J26" s="16">
        <f>C26-G26</f>
        <v>-789</v>
      </c>
      <c r="K26" s="16"/>
    </row>
    <row r="27" ht="20.05" customHeight="1">
      <c r="B27" s="27"/>
      <c r="C27" s="15">
        <v>521</v>
      </c>
      <c r="D27" s="16">
        <v>3010</v>
      </c>
      <c r="E27" s="16">
        <f>D27-C27</f>
        <v>2489</v>
      </c>
      <c r="F27" s="16">
        <f>1+341+4+170</f>
        <v>516</v>
      </c>
      <c r="G27" s="16">
        <v>1260</v>
      </c>
      <c r="H27" s="16">
        <v>1750</v>
      </c>
      <c r="I27" s="16">
        <f>G27+H27-C27-E27</f>
        <v>0</v>
      </c>
      <c r="J27" s="16">
        <f>C27-G27</f>
        <v>-739</v>
      </c>
      <c r="K27" s="16">
        <f>J27</f>
        <v>-739</v>
      </c>
    </row>
    <row r="28" ht="20.05" customHeight="1">
      <c r="B28" s="28">
        <v>2022</v>
      </c>
      <c r="C28" s="15"/>
      <c r="D28" s="16"/>
      <c r="E28" s="16"/>
      <c r="F28" s="16"/>
      <c r="G28" s="16"/>
      <c r="H28" s="16"/>
      <c r="I28" s="16"/>
      <c r="J28" s="16"/>
      <c r="K28" s="16">
        <f>'Model'!F31</f>
        <v>-287.966328423109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7" customWidth="1"/>
    <col min="2" max="5" width="9.9375" style="37" customWidth="1"/>
    <col min="6" max="16384" width="16.3516" style="37" customWidth="1"/>
  </cols>
  <sheetData>
    <row r="1" ht="30.75" customHeight="1"/>
    <row r="2" ht="27.65" customHeight="1">
      <c r="B2" t="s" s="2">
        <v>54</v>
      </c>
      <c r="C2" s="2"/>
      <c r="D2" s="2"/>
      <c r="E2" s="2"/>
    </row>
    <row r="3" ht="32.25" customHeight="1">
      <c r="B3" s="4"/>
      <c r="C3" t="s" s="38">
        <v>55</v>
      </c>
      <c r="D3" t="s" s="38">
        <v>56</v>
      </c>
      <c r="E3" t="s" s="38">
        <v>57</v>
      </c>
    </row>
    <row r="4" ht="20.25" customHeight="1">
      <c r="B4" s="22">
        <v>2018</v>
      </c>
      <c r="C4" s="39">
        <v>13000</v>
      </c>
      <c r="D4" s="40"/>
      <c r="E4" s="40"/>
    </row>
    <row r="5" ht="20.05" customHeight="1">
      <c r="B5" s="27"/>
      <c r="C5" s="41">
        <v>20050</v>
      </c>
      <c r="D5" s="42"/>
      <c r="E5" s="42"/>
    </row>
    <row r="6" ht="20.05" customHeight="1">
      <c r="B6" s="27"/>
      <c r="C6" s="41">
        <v>14075</v>
      </c>
      <c r="D6" s="42"/>
      <c r="E6" s="42"/>
    </row>
    <row r="7" ht="20.05" customHeight="1">
      <c r="B7" s="27"/>
      <c r="C7" s="41">
        <v>13500</v>
      </c>
      <c r="D7" s="42"/>
      <c r="E7" s="42"/>
    </row>
    <row r="8" ht="20.05" customHeight="1">
      <c r="B8" s="28">
        <v>2019</v>
      </c>
      <c r="C8" s="41">
        <v>14500</v>
      </c>
      <c r="D8" s="42"/>
      <c r="E8" s="42"/>
    </row>
    <row r="9" ht="20.05" customHeight="1">
      <c r="B9" s="27"/>
      <c r="C9" s="41">
        <v>14500</v>
      </c>
      <c r="D9" s="42"/>
      <c r="E9" s="42"/>
    </row>
    <row r="10" ht="20.05" customHeight="1">
      <c r="B10" s="27"/>
      <c r="C10" s="41">
        <v>19175</v>
      </c>
      <c r="D10" s="42"/>
      <c r="E10" s="42"/>
    </row>
    <row r="11" ht="20.05" customHeight="1">
      <c r="B11" s="27"/>
      <c r="C11" s="41">
        <v>13875</v>
      </c>
      <c r="D11" s="42"/>
      <c r="E11" s="42"/>
    </row>
    <row r="12" ht="20.05" customHeight="1">
      <c r="B12" s="28">
        <v>2020</v>
      </c>
      <c r="C12" s="41">
        <v>19750</v>
      </c>
      <c r="D12" s="42"/>
      <c r="E12" s="42"/>
    </row>
    <row r="13" ht="20.05" customHeight="1">
      <c r="B13" s="27"/>
      <c r="C13" s="41">
        <v>19425</v>
      </c>
      <c r="D13" s="42"/>
      <c r="E13" s="42"/>
    </row>
    <row r="14" ht="20.05" customHeight="1">
      <c r="B14" s="27"/>
      <c r="C14" s="41">
        <v>16450</v>
      </c>
      <c r="D14" s="42"/>
      <c r="E14" s="42"/>
    </row>
    <row r="15" ht="20.05" customHeight="1">
      <c r="B15" s="27"/>
      <c r="C15" s="41">
        <v>16000</v>
      </c>
      <c r="D15" s="42"/>
      <c r="E15" s="42"/>
    </row>
    <row r="16" ht="20.05" customHeight="1">
      <c r="B16" s="28">
        <v>2021</v>
      </c>
      <c r="C16" s="15">
        <v>12500</v>
      </c>
      <c r="D16" s="42"/>
      <c r="E16" s="42"/>
    </row>
    <row r="17" ht="20.05" customHeight="1">
      <c r="B17" s="27"/>
      <c r="C17" s="15">
        <v>9250</v>
      </c>
      <c r="D17" s="42"/>
      <c r="E17" s="42"/>
    </row>
    <row r="18" ht="20.05" customHeight="1">
      <c r="B18" s="27"/>
      <c r="C18" s="15">
        <v>17500</v>
      </c>
      <c r="D18" s="42"/>
      <c r="E18" s="42"/>
    </row>
    <row r="19" ht="20.05" customHeight="1">
      <c r="B19" s="27"/>
      <c r="C19" s="15">
        <v>49000</v>
      </c>
      <c r="D19" s="42"/>
      <c r="E19" s="42">
        <v>46605.6139688231</v>
      </c>
    </row>
    <row r="20" ht="20.05" customHeight="1">
      <c r="B20" s="28">
        <v>2022</v>
      </c>
      <c r="C20" s="15">
        <v>44000</v>
      </c>
      <c r="D20" s="42">
        <f>C20</f>
        <v>44000</v>
      </c>
      <c r="E20" s="16">
        <v>41849.9390740452</v>
      </c>
    </row>
    <row r="21" ht="20.05" customHeight="1">
      <c r="B21" s="27"/>
      <c r="C21" s="15"/>
      <c r="D21" s="42">
        <f>'Model'!F45</f>
        <v>90148.2371955643</v>
      </c>
      <c r="E21" s="42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