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<sst xmlns="http://schemas.openxmlformats.org/spreadsheetml/2006/main" uniqueCount="56">
  <si>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</si>
  <si>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</si>
  <si>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</si>
  <si>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</si>
  <si>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</si>
  <si>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</si>
  <si>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</si>
  <si>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</si>
  <si>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</si>
  <si>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Leases</t>
  </si>
  <si>
    <t>Investment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</si>
  <si>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</si>
  <si>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</si>
  <si>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</si>
  <si>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</si>
  <si>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</si>
  <si>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</si>
  <si>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</si>
  <si>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</si>
  <si>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>End</t>
  </si>
  <si>
    <t xml:space="preserve">Profit </t>
  </si>
  <si>
    <t xml:space="preserve">Non cash </t>
  </si>
  <si>
    <t>Balance sheet</t>
  </si>
  <si>
    <t>Other assets</t>
  </si>
  <si>
    <t xml:space="preserve">Depreciation </t>
  </si>
  <si>
    <t>Net other assets</t>
  </si>
  <si>
    <t xml:space="preserve">Check </t>
  </si>
  <si>
    <t>Net cash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</si>
  <si>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</si>
  <si>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</si>
  <si>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</si>
  <si>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</si>
  <si>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</si>
  <si>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</si>
  <si>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</si>
  <si>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</si>
  <si>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</si>
  <si>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</si>
  <si>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</si>
  <si>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</si>
  <si>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</si>
  <si>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</si>
  <si>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</si>
  <si>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</si>
  <si>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>Profit</t>
  </si>
  <si>
    <t>Non cash costs</t>
  </si>
  <si>
    <t xml:space="preserve">Sales growth </t>
  </si>
  <si>
    <t>Receipts</t>
  </si>
  <si>
    <t>Changes in cash</t>
  </si>
  <si>
    <t xml:space="preserve">Free cashflow </t>
  </si>
  <si>
    <t>Cash</t>
  </si>
  <si>
    <t>Assets</t>
  </si>
  <si>
    <t>Check</t>
  </si>
  <si>
    <t xml:space="preserve">Net cash </t>
  </si>
  <si>
    <t>Share price</t>
  </si>
  <si>
    <t>DOID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</si>
</sst>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"/>
    <numFmt numFmtId="60" formatCode="#,##0%"/>
    <numFmt numFmtId="61" formatCode="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3" borderId="3" applyNumberFormat="1" applyFont="1" applyFill="0" applyBorder="1" applyAlignment="1" applyProtection="0">
      <alignment horizontal="right" vertical="center" wrapText="1" readingOrder="1"/>
    </xf>
    <xf numFmtId="1" fontId="4" borderId="4" applyNumberFormat="1" applyFont="1" applyFill="0" applyBorder="1" applyAlignment="1" applyProtection="0">
      <alignment horizontal="right" vertical="top" wrapText="1"/>
    </xf>
    <xf numFmtId="1" fontId="3" borderId="6" applyNumberFormat="1" applyFont="1" applyFill="0" applyBorder="1" applyAlignment="1" applyProtection="0">
      <alignment horizontal="right" vertical="center" wrapText="1" readingOrder="1"/>
    </xf>
    <xf numFmtId="1" fontId="4" borderId="7" applyNumberFormat="1" applyFont="1" applyFill="0" applyBorder="1" applyAlignment="1" applyProtection="0">
      <alignment horizontal="right" vertical="top" wrapText="1"/>
    </xf>
    <xf numFmtId="3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288303</xdr:colOff>
      <xdr:row>1</xdr:row>
      <xdr:rowOff>257715</xdr:rowOff>
    </xdr:from>
    <xdr:to>
      <xdr:col>13</xdr:col>
      <xdr:colOff>422723</xdr:colOff>
      <xdr:row>49</xdr:row>
      <xdr:rowOff>244989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39603" y="410115"/>
          <a:ext cx="8846621" cy="123113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5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1797" style="1" customWidth="1"/>
    <col min="3" max="6" width="8.85156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AVERAGE('Sales'!G24:G27)</f>
        <v>0.204936271252881</v>
      </c>
      <c r="D4" s="8"/>
      <c r="E4" s="8"/>
      <c r="F4" s="9">
        <f>AVERAGE(C5:F5)</f>
        <v>0.0425</v>
      </c>
    </row>
    <row r="5" ht="20.05" customHeight="1">
      <c r="B5" t="s" s="10">
        <v>4</v>
      </c>
      <c r="C5" s="11">
        <v>0.05</v>
      </c>
      <c r="D5" s="12">
        <v>0.1</v>
      </c>
      <c r="E5" s="12">
        <v>0.03</v>
      </c>
      <c r="F5" s="12">
        <v>-0.01</v>
      </c>
    </row>
    <row r="6" ht="20.05" customHeight="1">
      <c r="B6" t="s" s="10">
        <v>5</v>
      </c>
      <c r="C6" s="13">
        <f>'Sales'!C27*(1+C5)</f>
        <v>348.915</v>
      </c>
      <c r="D6" s="14">
        <f>C6*(1+D5)</f>
        <v>383.8065</v>
      </c>
      <c r="E6" s="14">
        <f>D6*(1+E5)</f>
        <v>395.320695</v>
      </c>
      <c r="F6" s="14">
        <f>E6*(1+F5)</f>
        <v>391.36748805</v>
      </c>
    </row>
    <row r="7" ht="20.05" customHeight="1">
      <c r="B7" t="s" s="10">
        <v>6</v>
      </c>
      <c r="C7" s="11">
        <f>AVERAGE('Sales'!I23)</f>
        <v>-0.805021334800031</v>
      </c>
      <c r="D7" s="12">
        <f>C7</f>
        <v>-0.805021334800031</v>
      </c>
      <c r="E7" s="12">
        <f>D7</f>
        <v>-0.805021334800031</v>
      </c>
      <c r="F7" s="12">
        <f>E7</f>
        <v>-0.805021334800031</v>
      </c>
    </row>
    <row r="8" ht="20.05" customHeight="1">
      <c r="B8" t="s" s="10">
        <v>7</v>
      </c>
      <c r="C8" s="15">
        <f>C6*C7</f>
        <v>-280.884019031753</v>
      </c>
      <c r="D8" s="16">
        <f>D6*D7</f>
        <v>-308.972420934928</v>
      </c>
      <c r="E8" s="16">
        <f>E6*E7</f>
        <v>-318.241593562976</v>
      </c>
      <c r="F8" s="16">
        <f>F6*F7</f>
        <v>-315.059177627346</v>
      </c>
    </row>
    <row r="9" ht="20.05" customHeight="1">
      <c r="B9" t="s" s="10">
        <v>8</v>
      </c>
      <c r="C9" s="15">
        <f>C6+C8</f>
        <v>68.03098096824699</v>
      </c>
      <c r="D9" s="16">
        <f>D6+D8</f>
        <v>74.834079065072</v>
      </c>
      <c r="E9" s="16">
        <f>E6+E8</f>
        <v>77.07910143702399</v>
      </c>
      <c r="F9" s="16">
        <f>F6+F8</f>
        <v>76.308310422654</v>
      </c>
    </row>
    <row r="10" ht="20.05" customHeight="1">
      <c r="B10" t="s" s="10">
        <v>9</v>
      </c>
      <c r="C10" s="15">
        <f>AVERAGE('Cashflow '!F28)</f>
        <v>-24.9</v>
      </c>
      <c r="D10" s="16">
        <f>C10</f>
        <v>-24.9</v>
      </c>
      <c r="E10" s="16">
        <f>D10</f>
        <v>-24.9</v>
      </c>
      <c r="F10" s="16">
        <f>E10</f>
        <v>-24.9</v>
      </c>
    </row>
    <row r="11" ht="20.05" customHeight="1">
      <c r="B11" t="s" s="10">
        <v>10</v>
      </c>
      <c r="C11" s="15">
        <f>AVERAGE('Cashflow '!E21:E28)</f>
        <v>-56.8375</v>
      </c>
      <c r="D11" s="16">
        <f>C11</f>
        <v>-56.8375</v>
      </c>
      <c r="E11" s="16">
        <f>D11</f>
        <v>-56.8375</v>
      </c>
      <c r="F11" s="16">
        <f>E11</f>
        <v>-56.8375</v>
      </c>
    </row>
    <row r="12" ht="20.05" customHeight="1">
      <c r="B12" t="s" s="10">
        <v>11</v>
      </c>
      <c r="C12" s="15">
        <f>C13+C16+C14</f>
        <v>13.706519031753</v>
      </c>
      <c r="D12" s="16">
        <f>D13+D16+D14</f>
        <v>6.903420934928</v>
      </c>
      <c r="E12" s="16">
        <f>E13+E16+E14</f>
        <v>4.658398562976</v>
      </c>
      <c r="F12" s="16">
        <f>F13+F16+F14</f>
        <v>5.429189577346</v>
      </c>
    </row>
    <row r="13" ht="20.05" customHeight="1">
      <c r="B13" t="s" s="10">
        <v>12</v>
      </c>
      <c r="C13" s="15">
        <f>-'Balance sheet'!G28/20</f>
        <v>-68.59999999999999</v>
      </c>
      <c r="D13" s="16">
        <f>-C28/20</f>
        <v>-63.925</v>
      </c>
      <c r="E13" s="16">
        <f>-D28/20</f>
        <v>-59.48375</v>
      </c>
      <c r="F13" s="16">
        <f>-E28/20</f>
        <v>-55.2645625</v>
      </c>
    </row>
    <row r="14" ht="20.05" customHeight="1">
      <c r="B14" t="s" s="10">
        <v>13</v>
      </c>
      <c r="C14" s="15">
        <f>-MIN(0,C17)</f>
        <v>82.306519031753</v>
      </c>
      <c r="D14" s="16">
        <f>-MIN(C29,D17)</f>
        <v>70.828420934928</v>
      </c>
      <c r="E14" s="16">
        <f>-MIN(D29,E17)</f>
        <v>64.142148562976</v>
      </c>
      <c r="F14" s="16">
        <f>-MIN(E29,F17)</f>
        <v>60.693752077346</v>
      </c>
    </row>
    <row r="15" ht="20.05" customHeight="1">
      <c r="B15" t="s" s="10">
        <v>14</v>
      </c>
      <c r="C15" s="17">
        <v>0</v>
      </c>
      <c r="D15" s="16"/>
      <c r="E15" s="16"/>
      <c r="F15" s="16"/>
    </row>
    <row r="16" ht="20.05" customHeight="1">
      <c r="B16" t="s" s="10">
        <v>15</v>
      </c>
      <c r="C16" s="15">
        <f>IF(C23&gt;0,-C23*$C$15,0)</f>
        <v>0</v>
      </c>
      <c r="D16" s="16">
        <f>IF(D23&gt;0,-D23*$C$15,0)</f>
        <v>0</v>
      </c>
      <c r="E16" s="16">
        <f>IF(E23&gt;0,-E23*$C$15,0)</f>
        <v>0</v>
      </c>
      <c r="F16" s="16">
        <f>IF(F23&gt;0,-F23*$C$15,0)</f>
        <v>0</v>
      </c>
    </row>
    <row r="17" ht="20.05" customHeight="1">
      <c r="B17" t="s" s="10">
        <v>16</v>
      </c>
      <c r="C17" s="15">
        <f>C9+C11+C13+C16+C10</f>
        <v>-82.306519031753</v>
      </c>
      <c r="D17" s="16">
        <f>D9+D11+D13+D16+D10</f>
        <v>-70.828420934928</v>
      </c>
      <c r="E17" s="16">
        <f>E9+E11+E13+E16+E10</f>
        <v>-64.142148562976</v>
      </c>
      <c r="F17" s="16">
        <f>F9+F11+F13+F16+F10</f>
        <v>-60.693752077346</v>
      </c>
    </row>
    <row r="18" ht="20.05" customHeight="1">
      <c r="B18" t="s" s="10">
        <v>17</v>
      </c>
      <c r="C18" s="15">
        <f>'Balance sheet'!C28</f>
        <v>138</v>
      </c>
      <c r="D18" s="16">
        <f>C20</f>
        <v>138</v>
      </c>
      <c r="E18" s="16">
        <f>D20</f>
        <v>138</v>
      </c>
      <c r="F18" s="16">
        <f>E20</f>
        <v>138</v>
      </c>
    </row>
    <row r="19" ht="20.05" customHeight="1">
      <c r="B19" t="s" s="10">
        <v>18</v>
      </c>
      <c r="C19" s="15">
        <f>C9+C11+C12+C10</f>
        <v>0</v>
      </c>
      <c r="D19" s="16">
        <f>D9+D11+D12+D10</f>
        <v>0</v>
      </c>
      <c r="E19" s="16">
        <f>E9+E11+E12+E10</f>
        <v>0</v>
      </c>
      <c r="F19" s="16">
        <f>F9+F11+F12+F10</f>
        <v>0</v>
      </c>
    </row>
    <row r="20" ht="20.05" customHeight="1">
      <c r="B20" t="s" s="10">
        <v>19</v>
      </c>
      <c r="C20" s="15">
        <f>C18+C19</f>
        <v>138</v>
      </c>
      <c r="D20" s="16">
        <f>D18+D19</f>
        <v>138</v>
      </c>
      <c r="E20" s="16">
        <f>E18+E19</f>
        <v>138</v>
      </c>
      <c r="F20" s="16">
        <f>F18+F19</f>
        <v>138</v>
      </c>
    </row>
    <row r="21" ht="20.05" customHeight="1">
      <c r="B21" t="s" s="18">
        <v>20</v>
      </c>
      <c r="C21" s="15"/>
      <c r="D21" s="16"/>
      <c r="E21" s="16"/>
      <c r="F21" s="19"/>
    </row>
    <row r="22" ht="20.05" customHeight="1">
      <c r="B22" t="s" s="10">
        <v>21</v>
      </c>
      <c r="C22" s="15">
        <f>-AVERAGE('Sales'!E27)</f>
        <v>-55.8</v>
      </c>
      <c r="D22" s="16">
        <f>C22</f>
        <v>-55.8</v>
      </c>
      <c r="E22" s="16">
        <f>D22</f>
        <v>-55.8</v>
      </c>
      <c r="F22" s="16">
        <f>E22</f>
        <v>-55.8</v>
      </c>
    </row>
    <row r="23" ht="20.05" customHeight="1">
      <c r="B23" t="s" s="10">
        <v>20</v>
      </c>
      <c r="C23" s="15">
        <f>C6+C8+C22</f>
        <v>12.230980968247</v>
      </c>
      <c r="D23" s="16">
        <f>D6+D8+D22</f>
        <v>19.034079065072</v>
      </c>
      <c r="E23" s="16">
        <f>E6+E8+E22</f>
        <v>21.279101437024</v>
      </c>
      <c r="F23" s="16">
        <f>F6+F8+F22</f>
        <v>20.508310422654</v>
      </c>
    </row>
    <row r="24" ht="20.05" customHeight="1">
      <c r="B24" t="s" s="18">
        <v>22</v>
      </c>
      <c r="C24" s="15"/>
      <c r="D24" s="16"/>
      <c r="E24" s="16"/>
      <c r="F24" s="16"/>
    </row>
    <row r="25" ht="20.05" customHeight="1">
      <c r="B25" t="s" s="10">
        <v>23</v>
      </c>
      <c r="C25" s="15">
        <f>'Balance sheet'!E28+'Balance sheet'!F28-C11</f>
        <v>3109.8375</v>
      </c>
      <c r="D25" s="16">
        <f>C25-D11</f>
        <v>3166.675</v>
      </c>
      <c r="E25" s="16">
        <f>D25-E11</f>
        <v>3223.5125</v>
      </c>
      <c r="F25" s="16">
        <f>E25-F11</f>
        <v>3280.35</v>
      </c>
    </row>
    <row r="26" ht="20.05" customHeight="1">
      <c r="B26" t="s" s="10">
        <v>24</v>
      </c>
      <c r="C26" s="15">
        <f>'Balance sheet'!F28-C22</f>
        <v>1613.8</v>
      </c>
      <c r="D26" s="16">
        <f>C26-D22</f>
        <v>1669.6</v>
      </c>
      <c r="E26" s="16">
        <f>D26-E22</f>
        <v>1725.4</v>
      </c>
      <c r="F26" s="16">
        <f>E26-F22</f>
        <v>1781.2</v>
      </c>
    </row>
    <row r="27" ht="20.05" customHeight="1">
      <c r="B27" t="s" s="10">
        <v>25</v>
      </c>
      <c r="C27" s="15">
        <f>C25-C26</f>
        <v>1496.0375</v>
      </c>
      <c r="D27" s="16">
        <f>D25-D26</f>
        <v>1497.075</v>
      </c>
      <c r="E27" s="16">
        <f>E25-E26</f>
        <v>1498.1125</v>
      </c>
      <c r="F27" s="16">
        <f>F25-F26</f>
        <v>1499.15</v>
      </c>
    </row>
    <row r="28" ht="20.05" customHeight="1">
      <c r="B28" t="s" s="10">
        <v>12</v>
      </c>
      <c r="C28" s="15">
        <f>'Balance sheet'!G28+C13+C10</f>
        <v>1278.5</v>
      </c>
      <c r="D28" s="16">
        <f>C28+D13+D10</f>
        <v>1189.675</v>
      </c>
      <c r="E28" s="16">
        <f>D28+E13+E10</f>
        <v>1105.29125</v>
      </c>
      <c r="F28" s="16">
        <f>E28+F13+F10</f>
        <v>1025.1266875</v>
      </c>
    </row>
    <row r="29" ht="20.05" customHeight="1">
      <c r="B29" t="s" s="10">
        <v>13</v>
      </c>
      <c r="C29" s="15">
        <f>C14</f>
        <v>82.306519031753</v>
      </c>
      <c r="D29" s="16">
        <f>C29+D14</f>
        <v>153.134939966681</v>
      </c>
      <c r="E29" s="16">
        <f>D29+E14</f>
        <v>217.277088529657</v>
      </c>
      <c r="F29" s="16">
        <f>E29+F14</f>
        <v>277.970840607003</v>
      </c>
    </row>
    <row r="30" ht="20.05" customHeight="1">
      <c r="B30" t="s" s="10">
        <v>15</v>
      </c>
      <c r="C30" s="15">
        <f>'Balance sheet'!H28+C23+C16</f>
        <v>273.230980968247</v>
      </c>
      <c r="D30" s="16">
        <f>C30+D23+D16</f>
        <v>292.265060033319</v>
      </c>
      <c r="E30" s="16">
        <f>D30+E23+E16</f>
        <v>313.544161470343</v>
      </c>
      <c r="F30" s="16">
        <f>E30+F23+F16</f>
        <v>334.052471892997</v>
      </c>
    </row>
    <row r="31" ht="20.05" customHeight="1">
      <c r="B31" t="s" s="10">
        <v>26</v>
      </c>
      <c r="C31" s="15">
        <f>C28+C29+C30-C20-C27</f>
        <v>0</v>
      </c>
      <c r="D31" s="16">
        <f>D28+D29+D30-D20-D27</f>
        <v>0</v>
      </c>
      <c r="E31" s="16">
        <f>E28+E29+E30-E20-E27</f>
        <v>0</v>
      </c>
      <c r="F31" s="16">
        <f>F28+F29+F30-F20-F27</f>
        <v>0</v>
      </c>
    </row>
    <row r="32" ht="20.05" customHeight="1">
      <c r="B32" t="s" s="10">
        <v>27</v>
      </c>
      <c r="C32" s="15">
        <f>C20-C28-C29</f>
        <v>-1222.806519031750</v>
      </c>
      <c r="D32" s="16">
        <f>D20-D28-D29</f>
        <v>-1204.809939966680</v>
      </c>
      <c r="E32" s="16">
        <f>E20-E28-E29</f>
        <v>-1184.568338529660</v>
      </c>
      <c r="F32" s="16">
        <f>F20-F28-F29</f>
        <v>-1165.097528107</v>
      </c>
    </row>
    <row r="33" ht="20.05" customHeight="1">
      <c r="B33" t="s" s="18">
        <v>28</v>
      </c>
      <c r="C33" s="15"/>
      <c r="D33" s="16"/>
      <c r="E33" s="16"/>
      <c r="F33" s="16"/>
    </row>
    <row r="34" ht="20.05" customHeight="1">
      <c r="B34" t="s" s="10">
        <v>29</v>
      </c>
      <c r="C34" s="15"/>
      <c r="D34" s="16"/>
      <c r="E34" s="16"/>
      <c r="F34" s="16">
        <v>14</v>
      </c>
    </row>
    <row r="35" ht="20.05" customHeight="1">
      <c r="B35" t="s" s="10">
        <v>30</v>
      </c>
      <c r="C35" s="15">
        <f>'Cashflow '!N28-C12</f>
        <v>-228.683519031753</v>
      </c>
      <c r="D35" s="16">
        <f>C35-D12</f>
        <v>-235.586939966681</v>
      </c>
      <c r="E35" s="16">
        <f>D35-E12</f>
        <v>-240.245338529657</v>
      </c>
      <c r="F35" s="16">
        <f>E35-F12</f>
        <v>-245.674528107003</v>
      </c>
    </row>
    <row r="36" ht="20.05" customHeight="1">
      <c r="B36" t="s" s="10">
        <v>31</v>
      </c>
      <c r="C36" s="15"/>
      <c r="D36" s="16"/>
      <c r="E36" s="16"/>
      <c r="F36" s="16">
        <v>4586164152320</v>
      </c>
    </row>
    <row r="37" ht="20.05" customHeight="1">
      <c r="B37" t="s" s="10">
        <v>31</v>
      </c>
      <c r="C37" s="15"/>
      <c r="D37" s="16"/>
      <c r="E37" s="16"/>
      <c r="F37" s="16">
        <f>(F36/1000000000)/F34</f>
        <v>327.583153737143</v>
      </c>
    </row>
    <row r="38" ht="20.05" customHeight="1">
      <c r="B38" t="s" s="10">
        <v>32</v>
      </c>
      <c r="C38" s="15"/>
      <c r="D38" s="16"/>
      <c r="E38" s="16"/>
      <c r="F38" s="20">
        <f>F37/(F20+F27)</f>
        <v>0.200093548994987</v>
      </c>
    </row>
    <row r="39" ht="20.05" customHeight="1">
      <c r="B39" t="s" s="10">
        <v>33</v>
      </c>
      <c r="C39" s="15"/>
      <c r="D39" s="16"/>
      <c r="E39" s="16"/>
      <c r="F39" s="21">
        <f>-(C16+D16+E16+F16)/F37</f>
        <v>0</v>
      </c>
    </row>
    <row r="40" ht="20.05" customHeight="1">
      <c r="B40" t="s" s="10">
        <v>34</v>
      </c>
      <c r="C40" s="15"/>
      <c r="D40" s="16"/>
      <c r="E40" s="16"/>
      <c r="F40" s="16">
        <f>SUM(C9:F10)</f>
        <v>196.652471892997</v>
      </c>
    </row>
    <row r="41" ht="20.05" customHeight="1">
      <c r="B41" t="s" s="10">
        <v>35</v>
      </c>
      <c r="C41" s="15"/>
      <c r="D41" s="16"/>
      <c r="E41" s="16"/>
      <c r="F41" s="16">
        <f>'Balance sheet'!E28/F40</f>
        <v>7.6022436209877</v>
      </c>
    </row>
    <row r="42" ht="20.05" customHeight="1">
      <c r="B42" t="s" s="10">
        <v>28</v>
      </c>
      <c r="C42" s="15"/>
      <c r="D42" s="16"/>
      <c r="E42" s="16"/>
      <c r="F42" s="16">
        <f>F37/F40</f>
        <v>1.66579728484363</v>
      </c>
    </row>
    <row r="43" ht="20.05" customHeight="1">
      <c r="B43" t="s" s="10">
        <v>36</v>
      </c>
      <c r="C43" s="15"/>
      <c r="D43" s="16"/>
      <c r="E43" s="16"/>
      <c r="F43" s="16">
        <v>2.3</v>
      </c>
    </row>
    <row r="44" ht="20.05" customHeight="1">
      <c r="B44" t="s" s="10">
        <v>37</v>
      </c>
      <c r="C44" s="15"/>
      <c r="D44" s="16"/>
      <c r="E44" s="16"/>
      <c r="F44" s="16">
        <f>F40*F43</f>
        <v>452.300685353893</v>
      </c>
    </row>
    <row r="45" ht="20.05" customHeight="1">
      <c r="B45" t="s" s="10">
        <v>38</v>
      </c>
      <c r="C45" s="15"/>
      <c r="D45" s="16"/>
      <c r="E45" s="16"/>
      <c r="F45" s="16">
        <f>(F36/1000000000)/F47</f>
        <v>8.414980096000001</v>
      </c>
    </row>
    <row r="46" ht="20.05" customHeight="1">
      <c r="B46" t="s" s="10">
        <v>39</v>
      </c>
      <c r="C46" s="15"/>
      <c r="D46" s="16"/>
      <c r="E46" s="16"/>
      <c r="F46" s="16">
        <f>(F44/F45)*F34</f>
        <v>752.492521992354</v>
      </c>
    </row>
    <row r="47" ht="20.05" customHeight="1">
      <c r="B47" t="s" s="10">
        <v>40</v>
      </c>
      <c r="C47" s="15"/>
      <c r="D47" s="16"/>
      <c r="E47" s="16"/>
      <c r="F47" s="16">
        <v>545</v>
      </c>
    </row>
    <row r="48" ht="20.05" customHeight="1">
      <c r="B48" t="s" s="10">
        <v>41</v>
      </c>
      <c r="C48" s="15"/>
      <c r="D48" s="16"/>
      <c r="E48" s="16"/>
      <c r="F48" s="21">
        <f>F46/F47-1</f>
        <v>0.380720223839182</v>
      </c>
    </row>
    <row r="49" ht="20.05" customHeight="1">
      <c r="B49" t="s" s="10">
        <v>42</v>
      </c>
      <c r="C49" s="15"/>
      <c r="D49" s="16"/>
      <c r="E49" s="16"/>
      <c r="F49" s="21">
        <f>'Sales'!C27/'Sales'!C23-1</f>
        <v>1.08077645585473</v>
      </c>
    </row>
    <row r="50" ht="20.05" customHeight="1">
      <c r="B50" t="s" s="10">
        <v>43</v>
      </c>
      <c r="C50" s="15"/>
      <c r="D50" s="16"/>
      <c r="E50" s="16"/>
      <c r="F50" s="21">
        <f>'Sales'!F30/'Sales'!E30-1</f>
        <v>-0.0722157263468239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3.5" style="22" customWidth="1"/>
    <col min="2" max="10" width="10.9688" style="22" customWidth="1"/>
    <col min="11" max="16384" width="16.3516" style="22" customWidth="1"/>
  </cols>
  <sheetData>
    <row r="1" ht="27.65" customHeight="1">
      <c r="B1" t="s" s="2">
        <v>44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5">
        <v>1</v>
      </c>
      <c r="C2" t="s" s="5">
        <v>5</v>
      </c>
      <c r="D2" t="s" s="5">
        <v>36</v>
      </c>
      <c r="E2" t="s" s="5">
        <v>45</v>
      </c>
      <c r="F2" t="s" s="5">
        <v>44</v>
      </c>
      <c r="G2" t="s" s="5">
        <v>46</v>
      </c>
      <c r="H2" t="s" s="5">
        <v>6</v>
      </c>
      <c r="I2" t="s" s="5">
        <v>6</v>
      </c>
      <c r="J2" t="s" s="5">
        <v>36</v>
      </c>
    </row>
    <row r="3" ht="20.25" customHeight="1">
      <c r="B3" s="23">
        <v>2016</v>
      </c>
      <c r="C3" s="24">
        <v>126.8</v>
      </c>
      <c r="D3" s="25"/>
      <c r="E3" s="26">
        <f t="shared" si="0" ref="E3:E6">93.8/4</f>
        <v>23.45</v>
      </c>
      <c r="F3" s="26">
        <v>3.06</v>
      </c>
      <c r="G3" s="27"/>
      <c r="H3" s="9">
        <f>(E3+F3-C3)/C3</f>
        <v>-0.7909305993690851</v>
      </c>
      <c r="I3" s="9"/>
      <c r="J3" s="9"/>
    </row>
    <row r="4" ht="20.05" customHeight="1">
      <c r="B4" s="28"/>
      <c r="C4" s="13">
        <v>132.2</v>
      </c>
      <c r="D4" s="14"/>
      <c r="E4" s="16">
        <f t="shared" si="0"/>
        <v>23.45</v>
      </c>
      <c r="F4" s="16">
        <v>4.94</v>
      </c>
      <c r="G4" s="12">
        <f>C4/C3-1</f>
        <v>0.0425867507886435</v>
      </c>
      <c r="H4" s="12">
        <f>(E4+F4-C4)/C4</f>
        <v>-0.785249621785174</v>
      </c>
      <c r="I4" s="12"/>
      <c r="J4" s="12"/>
    </row>
    <row r="5" ht="20.05" customHeight="1">
      <c r="B5" s="28"/>
      <c r="C5" s="13">
        <v>159.26</v>
      </c>
      <c r="D5" s="14"/>
      <c r="E5" s="16">
        <f t="shared" si="0"/>
        <v>23.45</v>
      </c>
      <c r="F5" s="16">
        <v>17.3</v>
      </c>
      <c r="G5" s="12">
        <f>C5/C4-1</f>
        <v>0.204689863842663</v>
      </c>
      <c r="H5" s="12">
        <f>(E5+F5-C5)/C5</f>
        <v>-0.744129097073967</v>
      </c>
      <c r="I5" s="12"/>
      <c r="J5" s="12"/>
    </row>
    <row r="6" ht="20.05" customHeight="1">
      <c r="B6" s="28"/>
      <c r="C6" s="13">
        <v>192.74</v>
      </c>
      <c r="D6" s="14"/>
      <c r="E6" s="16">
        <f t="shared" si="0"/>
        <v>23.45</v>
      </c>
      <c r="F6" s="16">
        <v>11.7</v>
      </c>
      <c r="G6" s="12">
        <f>C6/C5-1</f>
        <v>0.210222278035916</v>
      </c>
      <c r="H6" s="12">
        <f>(E6+F6-C6)/C6</f>
        <v>-0.817629967832313</v>
      </c>
      <c r="I6" s="12"/>
      <c r="J6" s="12"/>
    </row>
    <row r="7" ht="20.05" customHeight="1">
      <c r="B7" s="29">
        <v>2017</v>
      </c>
      <c r="C7" s="13">
        <v>181.3</v>
      </c>
      <c r="D7" s="14"/>
      <c r="E7" s="16">
        <v>27.025</v>
      </c>
      <c r="F7" s="16">
        <v>23.7</v>
      </c>
      <c r="G7" s="12">
        <f>C7/C6-1</f>
        <v>-0.0593545709245616</v>
      </c>
      <c r="H7" s="12">
        <f>(E7+F7-C7)/C7</f>
        <v>-0.7202151130722561</v>
      </c>
      <c r="I7" s="12">
        <f>AVERAGE(H4:H7)</f>
        <v>-0.766805949940928</v>
      </c>
      <c r="J7" s="12"/>
    </row>
    <row r="8" ht="20.05" customHeight="1">
      <c r="B8" s="28"/>
      <c r="C8" s="13">
        <v>179.3</v>
      </c>
      <c r="D8" s="14"/>
      <c r="E8" s="16">
        <v>27.025</v>
      </c>
      <c r="F8" s="16">
        <v>-15.1</v>
      </c>
      <c r="G8" s="12">
        <f>C8/C7-1</f>
        <v>-0.0110314396028682</v>
      </c>
      <c r="H8" s="12">
        <f>(E8+F8-C8)/C8</f>
        <v>-0.933491355270496</v>
      </c>
      <c r="I8" s="12">
        <f>AVERAGE(H5:H8)</f>
        <v>-0.803866383312258</v>
      </c>
      <c r="J8" s="12"/>
    </row>
    <row r="9" ht="20.05" customHeight="1">
      <c r="B9" s="28"/>
      <c r="C9" s="13">
        <v>197.9</v>
      </c>
      <c r="D9" s="14"/>
      <c r="E9" s="16">
        <v>27.025</v>
      </c>
      <c r="F9" s="16">
        <v>22.8</v>
      </c>
      <c r="G9" s="12">
        <f>C9/C8-1</f>
        <v>0.103736754043503</v>
      </c>
      <c r="H9" s="12">
        <f>(E9+F9-C9)/C9</f>
        <v>-0.748231430015159</v>
      </c>
      <c r="I9" s="12">
        <f>AVERAGE(H6:H9)</f>
        <v>-0.804891966547556</v>
      </c>
      <c r="J9" s="12"/>
    </row>
    <row r="10" ht="20.05" customHeight="1">
      <c r="B10" s="28"/>
      <c r="C10" s="13">
        <v>206.5</v>
      </c>
      <c r="D10" s="14"/>
      <c r="E10" s="16">
        <v>27.025</v>
      </c>
      <c r="F10" s="16">
        <v>15.6</v>
      </c>
      <c r="G10" s="12">
        <f>C10/C9-1</f>
        <v>0.0434562910560889</v>
      </c>
      <c r="H10" s="12">
        <f>(E10+F10-C10)/C10</f>
        <v>-0.793583535108959</v>
      </c>
      <c r="I10" s="12">
        <f>AVERAGE(H7:H10)</f>
        <v>-0.798880358366718</v>
      </c>
      <c r="J10" s="12"/>
    </row>
    <row r="11" ht="20.05" customHeight="1">
      <c r="B11" s="29">
        <v>2018</v>
      </c>
      <c r="C11" s="13">
        <v>181.8</v>
      </c>
      <c r="D11" s="14"/>
      <c r="E11" s="16">
        <v>33.1</v>
      </c>
      <c r="F11" s="16">
        <v>10.45</v>
      </c>
      <c r="G11" s="12">
        <f>C11/C10-1</f>
        <v>-0.119612590799031</v>
      </c>
      <c r="H11" s="12">
        <f>(E11+F11-C11)/C11</f>
        <v>-0.76045104510451</v>
      </c>
      <c r="I11" s="12">
        <f>AVERAGE(H8:H11)</f>
        <v>-0.808939341374781</v>
      </c>
      <c r="J11" s="12"/>
    </row>
    <row r="12" ht="20.05" customHeight="1">
      <c r="B12" s="28"/>
      <c r="C12" s="13">
        <v>202.66</v>
      </c>
      <c r="D12" s="14"/>
      <c r="E12" s="16">
        <v>33.1</v>
      </c>
      <c r="F12" s="16">
        <v>7.83</v>
      </c>
      <c r="G12" s="12">
        <f>C12/C11-1</f>
        <v>0.114741474147415</v>
      </c>
      <c r="H12" s="12">
        <f>(E12+F12-C12)/C12</f>
        <v>-0.798036119609198</v>
      </c>
      <c r="I12" s="12">
        <f>AVERAGE(H9:H12)</f>
        <v>-0.775075532459457</v>
      </c>
      <c r="J12" s="12"/>
    </row>
    <row r="13" ht="20.05" customHeight="1">
      <c r="B13" s="28"/>
      <c r="C13" s="13">
        <v>253.04</v>
      </c>
      <c r="D13" s="14"/>
      <c r="E13" s="16">
        <v>33.1</v>
      </c>
      <c r="F13" s="16">
        <v>31.52</v>
      </c>
      <c r="G13" s="12">
        <f>C13/C12-1</f>
        <v>0.248593703740255</v>
      </c>
      <c r="H13" s="12">
        <f>(E13+F13-C13)/C13</f>
        <v>-0.744625355674992</v>
      </c>
      <c r="I13" s="12">
        <f>AVERAGE(H10:H13)</f>
        <v>-0.774174013874415</v>
      </c>
      <c r="J13" s="12"/>
    </row>
    <row r="14" ht="20.05" customHeight="1">
      <c r="B14" s="28"/>
      <c r="C14" s="13">
        <v>255</v>
      </c>
      <c r="D14" s="14"/>
      <c r="E14" s="16">
        <v>33.1</v>
      </c>
      <c r="F14" s="16">
        <v>25.8</v>
      </c>
      <c r="G14" s="12">
        <f>C14/C13-1</f>
        <v>0.00774581093898198</v>
      </c>
      <c r="H14" s="12">
        <f>(E14+F14-C14)/C14</f>
        <v>-0.7690196078431371</v>
      </c>
      <c r="I14" s="12">
        <f>AVERAGE(H11:H14)</f>
        <v>-0.768033032057959</v>
      </c>
      <c r="J14" s="12"/>
    </row>
    <row r="15" ht="20.05" customHeight="1">
      <c r="B15" s="29">
        <v>2019</v>
      </c>
      <c r="C15" s="13">
        <v>213.9</v>
      </c>
      <c r="D15" s="14"/>
      <c r="E15" s="16">
        <v>36.475</v>
      </c>
      <c r="F15" s="16">
        <v>1.4</v>
      </c>
      <c r="G15" s="12">
        <f>C15/C14-1</f>
        <v>-0.161176470588235</v>
      </c>
      <c r="H15" s="12">
        <f>(E15+F15-C15)/C15</f>
        <v>-0.822931276297335</v>
      </c>
      <c r="I15" s="12">
        <f>AVERAGE(H12:H15)</f>
        <v>-0.783653089856166</v>
      </c>
      <c r="J15" s="12"/>
    </row>
    <row r="16" ht="20.05" customHeight="1">
      <c r="B16" s="28"/>
      <c r="C16" s="13">
        <v>221.4</v>
      </c>
      <c r="D16" s="14"/>
      <c r="E16" s="16">
        <v>36.475</v>
      </c>
      <c r="F16" s="16">
        <v>2.7</v>
      </c>
      <c r="G16" s="12">
        <f>C16/C15-1</f>
        <v>0.0350631136044881</v>
      </c>
      <c r="H16" s="12">
        <f>(E16+F16-C16)/C16</f>
        <v>-0.823057813911472</v>
      </c>
      <c r="I16" s="12">
        <f>AVERAGE(H13:H16)</f>
        <v>-0.789908513431734</v>
      </c>
      <c r="J16" s="12"/>
    </row>
    <row r="17" ht="20.05" customHeight="1">
      <c r="B17" s="28"/>
      <c r="C17" s="13">
        <v>255</v>
      </c>
      <c r="D17" s="14"/>
      <c r="E17" s="16">
        <v>36.475</v>
      </c>
      <c r="F17" s="16">
        <v>24</v>
      </c>
      <c r="G17" s="12">
        <f>C17/C16-1</f>
        <v>0.151761517615176</v>
      </c>
      <c r="H17" s="12">
        <f>(E17+F17-C17)/C17</f>
        <v>-0.762843137254902</v>
      </c>
      <c r="I17" s="12">
        <f>AVERAGE(H14:H17)</f>
        <v>-0.794462958826712</v>
      </c>
      <c r="J17" s="12"/>
    </row>
    <row r="18" ht="20.05" customHeight="1">
      <c r="B18" s="28"/>
      <c r="C18" s="13">
        <v>191.5</v>
      </c>
      <c r="D18" s="14"/>
      <c r="E18" s="16">
        <v>36.475</v>
      </c>
      <c r="F18" s="16">
        <v>-7.6</v>
      </c>
      <c r="G18" s="12">
        <f>C18/C17-1</f>
        <v>-0.249019607843137</v>
      </c>
      <c r="H18" s="12">
        <f>(E18+F18-C18)/C18</f>
        <v>-0.849216710182768</v>
      </c>
      <c r="I18" s="12">
        <f>AVERAGE(H15:H18)</f>
        <v>-0.814512234411619</v>
      </c>
      <c r="J18" s="12"/>
    </row>
    <row r="19" ht="20.05" customHeight="1">
      <c r="B19" s="29">
        <v>2020</v>
      </c>
      <c r="C19" s="13">
        <v>193.8</v>
      </c>
      <c r="D19" s="14"/>
      <c r="E19" s="16">
        <v>36.2666666666667</v>
      </c>
      <c r="F19" s="16">
        <v>-22.7</v>
      </c>
      <c r="G19" s="12">
        <f>C19/C18-1</f>
        <v>0.0120104438642298</v>
      </c>
      <c r="H19" s="12">
        <f>(E19+F19-C19)/C19</f>
        <v>-0.92999656002752</v>
      </c>
      <c r="I19" s="12">
        <f>AVERAGE(H16:H19)</f>
        <v>-0.841278555344166</v>
      </c>
      <c r="J19" s="12"/>
    </row>
    <row r="20" ht="20.05" customHeight="1">
      <c r="B20" s="28"/>
      <c r="C20" s="13">
        <v>158.3</v>
      </c>
      <c r="D20" s="14"/>
      <c r="E20" s="16">
        <v>36.2666666666667</v>
      </c>
      <c r="F20" s="16">
        <v>14.8</v>
      </c>
      <c r="G20" s="12">
        <f>C20/C19-1</f>
        <v>-0.183178534571723</v>
      </c>
      <c r="H20" s="12">
        <f>(E20+F20-C20)/C20</f>
        <v>-0.677405769635713</v>
      </c>
      <c r="I20" s="12">
        <f>AVERAGE(H17:H20)</f>
        <v>-0.8048655442752261</v>
      </c>
      <c r="J20" s="12"/>
    </row>
    <row r="21" ht="20.05" customHeight="1">
      <c r="B21" s="28"/>
      <c r="C21" s="13">
        <v>142.1</v>
      </c>
      <c r="D21" s="14">
        <v>142.1</v>
      </c>
      <c r="E21" s="16">
        <v>36.2666666666667</v>
      </c>
      <c r="F21" s="16">
        <v>4.2</v>
      </c>
      <c r="G21" s="12">
        <f>C21/C20-1</f>
        <v>-0.102337334175616</v>
      </c>
      <c r="H21" s="12">
        <f>(E21+F21-C21)/C21</f>
        <v>-0.71522402064274</v>
      </c>
      <c r="I21" s="12">
        <f>AVERAGE(H18:H21)</f>
        <v>-0.7929607651221851</v>
      </c>
      <c r="J21" s="12"/>
    </row>
    <row r="22" ht="20.05" customHeight="1">
      <c r="B22" s="28"/>
      <c r="C22" s="13">
        <f>601.7-SUM(C19:C21)</f>
        <v>107.5</v>
      </c>
      <c r="D22" s="14">
        <v>177.625</v>
      </c>
      <c r="E22" s="16">
        <f>142-SUM(E19:E21)</f>
        <v>33.1999999999999</v>
      </c>
      <c r="F22" s="16">
        <f>-23.4-SUM(F19:F21)</f>
        <v>-19.7</v>
      </c>
      <c r="G22" s="12">
        <f>C22/C21-1</f>
        <v>-0.243490499648135</v>
      </c>
      <c r="H22" s="12">
        <f>(E22+F22-C22)/C22</f>
        <v>-0.8744186046511641</v>
      </c>
      <c r="I22" s="12">
        <f>AVERAGE(H19:H22)</f>
        <v>-0.799261238739284</v>
      </c>
      <c r="J22" s="12"/>
    </row>
    <row r="23" ht="20.05" customHeight="1">
      <c r="B23" s="29">
        <v>2021</v>
      </c>
      <c r="C23" s="13">
        <v>159.7</v>
      </c>
      <c r="D23" s="14">
        <v>165.19125</v>
      </c>
      <c r="E23" s="30">
        <v>33</v>
      </c>
      <c r="F23" s="16">
        <v>-25.5</v>
      </c>
      <c r="G23" s="12">
        <f>C23/C22-1</f>
        <v>0.485581395348837</v>
      </c>
      <c r="H23" s="12">
        <f>(E23+F23-C23)/C23</f>
        <v>-0.953036944270507</v>
      </c>
      <c r="I23" s="12">
        <f>AVERAGE(H20:H23)</f>
        <v>-0.805021334800031</v>
      </c>
      <c r="J23" s="12"/>
    </row>
    <row r="24" ht="20.05" customHeight="1">
      <c r="B24" s="28"/>
      <c r="C24" s="13">
        <f>348.9-C23</f>
        <v>189.2</v>
      </c>
      <c r="D24" s="14">
        <v>161.297</v>
      </c>
      <c r="E24" s="30">
        <v>33</v>
      </c>
      <c r="F24" s="16">
        <f>-32.7-F23</f>
        <v>-7.2</v>
      </c>
      <c r="G24" s="12">
        <f>C24/C23-1</f>
        <v>0.184721352536005</v>
      </c>
      <c r="H24" s="12">
        <f>(E24+F24-C24)/C24</f>
        <v>-0.863636363636364</v>
      </c>
      <c r="I24" s="12">
        <f>AVERAGE(H21:H24)</f>
        <v>-0.851578983300194</v>
      </c>
      <c r="J24" s="12"/>
    </row>
    <row r="25" ht="20.05" customHeight="1">
      <c r="B25" s="28"/>
      <c r="C25" s="13">
        <f>596.7-SUM(C23:C24)</f>
        <v>247.8</v>
      </c>
      <c r="D25" s="14">
        <v>208.12</v>
      </c>
      <c r="E25" s="16">
        <f>106-SUM(E23:E24)</f>
        <v>40</v>
      </c>
      <c r="F25" s="16">
        <f>-16.1-SUM(F23:F24)</f>
        <v>16.6</v>
      </c>
      <c r="G25" s="12">
        <f>C25/C24-1</f>
        <v>0.309725158562368</v>
      </c>
      <c r="H25" s="12">
        <f>(E25+F25-C25)/C25</f>
        <v>-0.771589991928975</v>
      </c>
      <c r="I25" s="12">
        <f>AVERAGE(H22:H25)</f>
        <v>-0.865670476121753</v>
      </c>
      <c r="J25" s="12"/>
    </row>
    <row r="26" ht="20.05" customHeight="1">
      <c r="B26" s="28"/>
      <c r="C26" s="13">
        <f>910.5-SUM(C23:C25)</f>
        <v>313.8</v>
      </c>
      <c r="D26" s="14">
        <v>265.146</v>
      </c>
      <c r="E26" s="16">
        <f>150-SUM(E23:E25)</f>
        <v>44</v>
      </c>
      <c r="F26" s="16">
        <f>0.3-SUM(F23:F25)</f>
        <v>16.4</v>
      </c>
      <c r="G26" s="12">
        <f>C26/C25-1</f>
        <v>0.26634382566586</v>
      </c>
      <c r="H26" s="12">
        <f>(E26+F26-C26)/C26</f>
        <v>-0.807520713830465</v>
      </c>
      <c r="I26" s="12">
        <f>AVERAGE(H23:H26)</f>
        <v>-0.848946003416578</v>
      </c>
      <c r="J26" s="12"/>
    </row>
    <row r="27" ht="20.05" customHeight="1">
      <c r="B27" s="29">
        <v>2022</v>
      </c>
      <c r="C27" s="13">
        <v>332.3</v>
      </c>
      <c r="D27" s="14">
        <v>265.146</v>
      </c>
      <c r="E27" s="16">
        <v>55.8</v>
      </c>
      <c r="F27" s="16">
        <v>-0.5</v>
      </c>
      <c r="G27" s="12">
        <f>C27/C26-1</f>
        <v>0.0589547482472913</v>
      </c>
      <c r="H27" s="12">
        <f>(E27+F27-C27)/C27</f>
        <v>-0.833584110743304</v>
      </c>
      <c r="I27" s="12">
        <f>AVERAGE(H24:H27)</f>
        <v>-0.819082795034777</v>
      </c>
      <c r="J27" s="12">
        <v>-0.771589991928975</v>
      </c>
    </row>
    <row r="28" ht="20.05" customHeight="1">
      <c r="B28" s="28"/>
      <c r="C28" s="13"/>
      <c r="D28" s="14">
        <f>'Model'!C6</f>
        <v>348.915</v>
      </c>
      <c r="E28" s="16"/>
      <c r="F28" s="16"/>
      <c r="G28" s="31"/>
      <c r="H28" s="19"/>
      <c r="I28" s="12"/>
      <c r="J28" s="12">
        <f>'Model'!C7</f>
        <v>-0.805021334800031</v>
      </c>
    </row>
    <row r="29" ht="20.05" customHeight="1">
      <c r="B29" s="28"/>
      <c r="C29" s="13"/>
      <c r="D29" s="14">
        <f>'Model'!D6</f>
        <v>383.8065</v>
      </c>
      <c r="E29" s="16"/>
      <c r="F29" s="16"/>
      <c r="G29" s="31"/>
      <c r="H29" s="12"/>
      <c r="I29" s="12"/>
      <c r="J29" s="12"/>
    </row>
    <row r="30" ht="20.05" customHeight="1">
      <c r="B30" s="28"/>
      <c r="C30" s="13"/>
      <c r="D30" s="14">
        <f>'Model'!E6</f>
        <v>395.320695</v>
      </c>
      <c r="E30" s="16">
        <f>SUM(C21:C27)</f>
        <v>1492.4</v>
      </c>
      <c r="F30" s="16">
        <f>SUM(D21:D27)</f>
        <v>1384.62525</v>
      </c>
      <c r="G30" s="31"/>
      <c r="H30" s="12"/>
      <c r="I30" s="12"/>
      <c r="J30" s="12"/>
    </row>
    <row r="31" ht="20.05" customHeight="1">
      <c r="B31" s="29">
        <v>2023</v>
      </c>
      <c r="C31" s="13"/>
      <c r="D31" s="14">
        <f>'Model'!F6</f>
        <v>391.36748805</v>
      </c>
      <c r="E31" s="16"/>
      <c r="F31" s="16"/>
      <c r="G31" s="31"/>
      <c r="H31" s="12"/>
      <c r="I31" s="12"/>
      <c r="J31" s="12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P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32" customWidth="1"/>
    <col min="2" max="2" width="9.5625" style="32" customWidth="1"/>
    <col min="3" max="16" width="10.3672" style="32" customWidth="1"/>
    <col min="17" max="16384" width="16.3516" style="32" customWidth="1"/>
  </cols>
  <sheetData>
    <row r="1" ht="13.8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46.75" customHeight="1">
      <c r="B3" t="s" s="5">
        <v>1</v>
      </c>
      <c r="C3" t="s" s="5">
        <v>47</v>
      </c>
      <c r="D3" t="s" s="5">
        <v>8</v>
      </c>
      <c r="E3" t="s" s="5">
        <v>10</v>
      </c>
      <c r="F3" t="s" s="5">
        <v>9</v>
      </c>
      <c r="G3" t="s" s="5">
        <v>12</v>
      </c>
      <c r="H3" t="s" s="5">
        <v>15</v>
      </c>
      <c r="I3" t="s" s="5">
        <v>11</v>
      </c>
      <c r="J3" t="s" s="5">
        <v>48</v>
      </c>
      <c r="K3" t="s" s="5">
        <v>49</v>
      </c>
      <c r="L3" t="s" s="5">
        <v>34</v>
      </c>
      <c r="M3" t="s" s="5">
        <v>36</v>
      </c>
      <c r="N3" t="s" s="5">
        <v>30</v>
      </c>
      <c r="O3" t="s" s="5">
        <v>36</v>
      </c>
      <c r="P3" s="33"/>
    </row>
    <row r="4" ht="21.4" customHeight="1">
      <c r="B4" s="23">
        <v>2016</v>
      </c>
      <c r="C4" s="34">
        <v>146.24</v>
      </c>
      <c r="D4" s="26">
        <v>66.54000000000001</v>
      </c>
      <c r="E4" s="26">
        <v>-1.05</v>
      </c>
      <c r="F4" s="26">
        <v>-7.944</v>
      </c>
      <c r="G4" s="26">
        <v>-31.88</v>
      </c>
      <c r="H4" s="26">
        <v>0.18075</v>
      </c>
      <c r="I4" s="26">
        <v>-14.35</v>
      </c>
      <c r="J4" s="35"/>
      <c r="K4" s="35">
        <f>D4+E4+F4</f>
        <v>57.546</v>
      </c>
      <c r="L4" s="35"/>
      <c r="M4" s="26"/>
      <c r="N4" s="26">
        <f>-(I4-F4)</f>
        <v>6.406</v>
      </c>
      <c r="O4" s="26"/>
      <c r="P4" s="26">
        <v>1</v>
      </c>
    </row>
    <row r="5" ht="21.2" customHeight="1">
      <c r="B5" s="28"/>
      <c r="C5" s="15">
        <v>140.56</v>
      </c>
      <c r="D5" s="16">
        <v>-41.54</v>
      </c>
      <c r="E5" s="16">
        <v>3.35</v>
      </c>
      <c r="F5" s="16">
        <v>-7.944</v>
      </c>
      <c r="G5" s="16">
        <v>-31.88</v>
      </c>
      <c r="H5" s="16">
        <v>0.18075</v>
      </c>
      <c r="I5" s="16">
        <v>-16.44</v>
      </c>
      <c r="J5" s="36"/>
      <c r="K5" s="36">
        <f>D5+E5+F5</f>
        <v>-46.134</v>
      </c>
      <c r="L5" s="36"/>
      <c r="M5" s="16"/>
      <c r="N5" s="16">
        <f>-(I5-F5)+N4</f>
        <v>14.902</v>
      </c>
      <c r="O5" s="16"/>
      <c r="P5" s="16">
        <f>1+P4</f>
        <v>2</v>
      </c>
    </row>
    <row r="6" ht="21.2" customHeight="1">
      <c r="B6" s="28"/>
      <c r="C6" s="15">
        <v>142.7</v>
      </c>
      <c r="D6" s="16">
        <v>127</v>
      </c>
      <c r="E6" s="16">
        <v>-7.7</v>
      </c>
      <c r="F6" s="16">
        <v>-7.944</v>
      </c>
      <c r="G6" s="16">
        <v>-31.88</v>
      </c>
      <c r="H6" s="16">
        <v>0.18075</v>
      </c>
      <c r="I6" s="16">
        <v>-53.21</v>
      </c>
      <c r="J6" s="36"/>
      <c r="K6" s="36">
        <f>D6+E6+F6</f>
        <v>111.356</v>
      </c>
      <c r="L6" s="36"/>
      <c r="M6" s="16"/>
      <c r="N6" s="16">
        <f>-(I6-F6)+N5</f>
        <v>60.168</v>
      </c>
      <c r="O6" s="16"/>
      <c r="P6" s="16">
        <f>1+P5</f>
        <v>3</v>
      </c>
    </row>
    <row r="7" ht="21.2" customHeight="1">
      <c r="B7" s="28"/>
      <c r="C7" s="15">
        <v>175.5</v>
      </c>
      <c r="D7" s="16">
        <v>38</v>
      </c>
      <c r="E7" s="16">
        <v>-30.6</v>
      </c>
      <c r="F7" s="16">
        <v>-7.944</v>
      </c>
      <c r="G7" s="16">
        <v>-31.88</v>
      </c>
      <c r="H7" s="16">
        <v>0.18075</v>
      </c>
      <c r="I7" s="16">
        <v>-76</v>
      </c>
      <c r="J7" s="36"/>
      <c r="K7" s="36">
        <f>D7+E7+F7</f>
        <v>-0.544</v>
      </c>
      <c r="L7" s="36"/>
      <c r="M7" s="16"/>
      <c r="N7" s="16">
        <f>-(I7-F7)+N6</f>
        <v>128.224</v>
      </c>
      <c r="O7" s="16"/>
      <c r="P7" s="16">
        <f>1+P6</f>
        <v>4</v>
      </c>
    </row>
    <row r="8" ht="21.2" customHeight="1">
      <c r="B8" s="29">
        <v>2017</v>
      </c>
      <c r="C8" s="15">
        <v>151.77</v>
      </c>
      <c r="D8" s="16">
        <v>17.05</v>
      </c>
      <c r="E8" s="16">
        <v>7.75</v>
      </c>
      <c r="F8" s="16">
        <v>-12.1505</v>
      </c>
      <c r="G8" s="16">
        <v>-13.79975</v>
      </c>
      <c r="H8" s="16">
        <v>1.27825</v>
      </c>
      <c r="I8" s="16">
        <v>-17.9</v>
      </c>
      <c r="J8" s="36"/>
      <c r="K8" s="36">
        <f>D8+E8+F8</f>
        <v>12.6495</v>
      </c>
      <c r="L8" s="36">
        <f>AVERAGE(K5:K8)</f>
        <v>19.331875</v>
      </c>
      <c r="M8" s="16"/>
      <c r="N8" s="16">
        <f>-(I8-F8)+N7</f>
        <v>133.9735</v>
      </c>
      <c r="O8" s="16"/>
      <c r="P8" s="16">
        <f>1+P7</f>
        <v>5</v>
      </c>
    </row>
    <row r="9" ht="21.2" customHeight="1">
      <c r="B9" s="28"/>
      <c r="C9" s="15">
        <v>189.92</v>
      </c>
      <c r="D9" s="16">
        <v>79.84999999999999</v>
      </c>
      <c r="E9" s="16">
        <v>-58.95</v>
      </c>
      <c r="F9" s="16">
        <v>-12.1505</v>
      </c>
      <c r="G9" s="16">
        <v>-13.79975</v>
      </c>
      <c r="H9" s="16">
        <v>1.27825</v>
      </c>
      <c r="I9" s="16">
        <v>-23.8</v>
      </c>
      <c r="J9" s="36"/>
      <c r="K9" s="36">
        <f>D9+E9+F9</f>
        <v>8.749499999999999</v>
      </c>
      <c r="L9" s="36">
        <f>AVERAGE(K6:K9)</f>
        <v>33.05275</v>
      </c>
      <c r="M9" s="16"/>
      <c r="N9" s="16">
        <f>-(I9-F9)+N8</f>
        <v>145.623</v>
      </c>
      <c r="O9" s="16"/>
      <c r="P9" s="16">
        <f>1+P8</f>
        <v>6</v>
      </c>
    </row>
    <row r="10" ht="21.2" customHeight="1">
      <c r="B10" s="28"/>
      <c r="C10" s="15">
        <v>184.41</v>
      </c>
      <c r="D10" s="16">
        <v>20.1</v>
      </c>
      <c r="E10" s="16">
        <v>10.3</v>
      </c>
      <c r="F10" s="16">
        <v>-12.1505</v>
      </c>
      <c r="G10" s="16">
        <v>-13.79975</v>
      </c>
      <c r="H10" s="16">
        <v>1.27825</v>
      </c>
      <c r="I10" s="16">
        <v>-8.800000000000001</v>
      </c>
      <c r="J10" s="36"/>
      <c r="K10" s="36">
        <f>D10+E10+F10</f>
        <v>18.2495</v>
      </c>
      <c r="L10" s="36">
        <f>AVERAGE(K7:K10)</f>
        <v>9.776125</v>
      </c>
      <c r="M10" s="16"/>
      <c r="N10" s="16">
        <f>-(I10-F10)+N9</f>
        <v>142.2725</v>
      </c>
      <c r="O10" s="16"/>
      <c r="P10" s="16">
        <f>1+P9</f>
        <v>7</v>
      </c>
    </row>
    <row r="11" ht="21.2" customHeight="1">
      <c r="B11" s="28"/>
      <c r="C11" s="15">
        <v>204.9</v>
      </c>
      <c r="D11" s="16">
        <v>45</v>
      </c>
      <c r="E11" s="16">
        <v>-22.1</v>
      </c>
      <c r="F11" s="16">
        <v>-12.1505</v>
      </c>
      <c r="G11" s="16">
        <v>-13.79975</v>
      </c>
      <c r="H11" s="16">
        <v>1.27825</v>
      </c>
      <c r="I11" s="16">
        <v>-48.5</v>
      </c>
      <c r="J11" s="36"/>
      <c r="K11" s="36">
        <f>D11+E11+F11</f>
        <v>10.7495</v>
      </c>
      <c r="L11" s="36">
        <f>AVERAGE(K8:K11)</f>
        <v>12.5995</v>
      </c>
      <c r="M11" s="16"/>
      <c r="N11" s="16">
        <f>-(I11-F11)+N10</f>
        <v>178.622</v>
      </c>
      <c r="O11" s="16"/>
      <c r="P11" s="16">
        <f>1+P10</f>
        <v>8</v>
      </c>
    </row>
    <row r="12" ht="21.2" customHeight="1">
      <c r="B12" s="29">
        <v>2018</v>
      </c>
      <c r="C12" s="15">
        <v>173.86</v>
      </c>
      <c r="D12" s="16">
        <v>19.69</v>
      </c>
      <c r="E12" s="16">
        <v>-34.24</v>
      </c>
      <c r="F12" s="16">
        <v>-17.117</v>
      </c>
      <c r="G12" s="16">
        <v>13.37375</v>
      </c>
      <c r="H12" s="16">
        <v>0.3475</v>
      </c>
      <c r="I12" s="16">
        <v>27.28</v>
      </c>
      <c r="J12" s="36"/>
      <c r="K12" s="36">
        <f>D12+E12+F12</f>
        <v>-31.667</v>
      </c>
      <c r="L12" s="36">
        <f>AVERAGE(K9:K12)</f>
        <v>1.520375</v>
      </c>
      <c r="M12" s="16"/>
      <c r="N12" s="16">
        <f>-(I12-F12)+N11</f>
        <v>134.225</v>
      </c>
      <c r="O12" s="16"/>
      <c r="P12" s="16">
        <f>1+P11</f>
        <v>9</v>
      </c>
    </row>
    <row r="13" ht="21.2" customHeight="1">
      <c r="B13" s="28"/>
      <c r="C13" s="15">
        <v>195.84</v>
      </c>
      <c r="D13" s="16">
        <v>42.21</v>
      </c>
      <c r="E13" s="16">
        <v>-48.76</v>
      </c>
      <c r="F13" s="16">
        <v>-17.117</v>
      </c>
      <c r="G13" s="16">
        <v>13.37375</v>
      </c>
      <c r="H13" s="16">
        <v>0.3475</v>
      </c>
      <c r="I13" s="16">
        <v>-6.28</v>
      </c>
      <c r="J13" s="36"/>
      <c r="K13" s="36">
        <f>D13+E13+F13</f>
        <v>-23.667</v>
      </c>
      <c r="L13" s="36">
        <f>AVERAGE(K10:K13)</f>
        <v>-6.58375</v>
      </c>
      <c r="M13" s="16"/>
      <c r="N13" s="16">
        <f>-(I13-F13)+N12</f>
        <v>123.388</v>
      </c>
      <c r="O13" s="16"/>
      <c r="P13" s="16">
        <f>1+P12</f>
        <v>10</v>
      </c>
    </row>
    <row r="14" ht="21.2" customHeight="1">
      <c r="B14" s="28"/>
      <c r="C14" s="15">
        <v>204.3</v>
      </c>
      <c r="D14" s="16">
        <v>29.3</v>
      </c>
      <c r="E14" s="16">
        <v>-31.8</v>
      </c>
      <c r="F14" s="16">
        <v>-17.117</v>
      </c>
      <c r="G14" s="16">
        <v>13.37375</v>
      </c>
      <c r="H14" s="16">
        <v>0.3475</v>
      </c>
      <c r="I14" s="16">
        <v>-9.699999999999999</v>
      </c>
      <c r="J14" s="36"/>
      <c r="K14" s="36">
        <f>D14+E14+F14</f>
        <v>-19.617</v>
      </c>
      <c r="L14" s="36">
        <f>AVERAGE(K11:K14)</f>
        <v>-16.050375</v>
      </c>
      <c r="M14" s="16"/>
      <c r="N14" s="16">
        <f>-(I14-F14)+N13</f>
        <v>115.971</v>
      </c>
      <c r="O14" s="16"/>
      <c r="P14" s="16">
        <f>1+P13</f>
        <v>11</v>
      </c>
    </row>
    <row r="15" ht="21.2" customHeight="1">
      <c r="B15" s="28"/>
      <c r="C15" s="15">
        <v>279.4</v>
      </c>
      <c r="D15" s="16">
        <v>82.7</v>
      </c>
      <c r="E15" s="16">
        <v>-46.2</v>
      </c>
      <c r="F15" s="16">
        <v>-17.117</v>
      </c>
      <c r="G15" s="16">
        <v>13.37375</v>
      </c>
      <c r="H15" s="16">
        <v>0.3475</v>
      </c>
      <c r="I15" s="16">
        <v>-24.9</v>
      </c>
      <c r="J15" s="36"/>
      <c r="K15" s="36">
        <f>D15+E15+F15</f>
        <v>19.383</v>
      </c>
      <c r="L15" s="36">
        <f>AVERAGE(K12:K15)</f>
        <v>-13.892</v>
      </c>
      <c r="M15" s="16"/>
      <c r="N15" s="16">
        <f>-(I15-F15)+N14</f>
        <v>123.754</v>
      </c>
      <c r="O15" s="16"/>
      <c r="P15" s="16">
        <f>1+P14</f>
        <v>12</v>
      </c>
    </row>
    <row r="16" ht="21.2" customHeight="1">
      <c r="B16" s="29">
        <v>2019</v>
      </c>
      <c r="C16" s="15">
        <v>208.2</v>
      </c>
      <c r="D16" s="16">
        <v>33.8</v>
      </c>
      <c r="E16" s="16">
        <v>-27.7</v>
      </c>
      <c r="F16" s="16">
        <v>-18.78275</v>
      </c>
      <c r="G16" s="16">
        <v>2.31</v>
      </c>
      <c r="H16" s="16">
        <v>0.0305</v>
      </c>
      <c r="I16" s="16">
        <v>23.7</v>
      </c>
      <c r="J16" s="36"/>
      <c r="K16" s="36">
        <f>D16+E16+F16</f>
        <v>-12.68275</v>
      </c>
      <c r="L16" s="36">
        <f>AVERAGE(K13:K16)</f>
        <v>-9.1459375</v>
      </c>
      <c r="M16" s="16"/>
      <c r="N16" s="16">
        <f>-(I16-F16)+N15</f>
        <v>81.27124999999999</v>
      </c>
      <c r="O16" s="16"/>
      <c r="P16" s="16">
        <f>1+P15</f>
        <v>13</v>
      </c>
    </row>
    <row r="17" ht="21.2" customHeight="1">
      <c r="B17" s="28"/>
      <c r="C17" s="15">
        <v>211.7</v>
      </c>
      <c r="D17" s="16">
        <v>34.9</v>
      </c>
      <c r="E17" s="16">
        <v>-16.2</v>
      </c>
      <c r="F17" s="16">
        <v>-18.78275</v>
      </c>
      <c r="G17" s="16">
        <v>2.31</v>
      </c>
      <c r="H17" s="16">
        <v>0.0305</v>
      </c>
      <c r="I17" s="16">
        <v>-32.7</v>
      </c>
      <c r="J17" s="36"/>
      <c r="K17" s="36">
        <f>D17+E17+F17</f>
        <v>-0.08275</v>
      </c>
      <c r="L17" s="36">
        <f>AVERAGE(K14:K17)</f>
        <v>-3.249875</v>
      </c>
      <c r="M17" s="16"/>
      <c r="N17" s="16">
        <f>-(I17-F17)+N16</f>
        <v>95.1885</v>
      </c>
      <c r="O17" s="16"/>
      <c r="P17" s="16">
        <f>1+P16</f>
        <v>14</v>
      </c>
    </row>
    <row r="18" ht="21.2" customHeight="1">
      <c r="B18" s="28"/>
      <c r="C18" s="15">
        <v>223.2</v>
      </c>
      <c r="D18" s="16">
        <v>8.199999999999999</v>
      </c>
      <c r="E18" s="16">
        <v>-12.2</v>
      </c>
      <c r="F18" s="16">
        <v>-18.78275</v>
      </c>
      <c r="G18" s="16">
        <v>2.31</v>
      </c>
      <c r="H18" s="16">
        <v>0.0305</v>
      </c>
      <c r="I18" s="16">
        <v>-28.8</v>
      </c>
      <c r="J18" s="36"/>
      <c r="K18" s="36">
        <f>D18+E18+F18</f>
        <v>-22.78275</v>
      </c>
      <c r="L18" s="36">
        <f>AVERAGE(K15:K18)</f>
        <v>-4.0413125</v>
      </c>
      <c r="M18" s="16"/>
      <c r="N18" s="16">
        <f>-(I18-F18)+N17</f>
        <v>105.20575</v>
      </c>
      <c r="O18" s="16"/>
      <c r="P18" s="16">
        <f>1+P17</f>
        <v>15</v>
      </c>
    </row>
    <row r="19" ht="21.2" customHeight="1">
      <c r="B19" s="28"/>
      <c r="C19" s="15">
        <v>237.1</v>
      </c>
      <c r="D19" s="16">
        <v>58.8</v>
      </c>
      <c r="E19" s="16">
        <v>5.8</v>
      </c>
      <c r="F19" s="16">
        <v>-18.78275</v>
      </c>
      <c r="G19" s="16">
        <v>2.31</v>
      </c>
      <c r="H19" s="16">
        <v>0.0305</v>
      </c>
      <c r="I19" s="16">
        <v>-28</v>
      </c>
      <c r="J19" s="36"/>
      <c r="K19" s="36">
        <f>D19+E19+F19</f>
        <v>45.81725</v>
      </c>
      <c r="L19" s="36">
        <f>AVERAGE(K16:K19)</f>
        <v>2.56725</v>
      </c>
      <c r="M19" s="16"/>
      <c r="N19" s="16">
        <f>-(I19-F19)+N18</f>
        <v>114.423</v>
      </c>
      <c r="O19" s="16"/>
      <c r="P19" s="16">
        <f>1+P18</f>
        <v>16</v>
      </c>
    </row>
    <row r="20" ht="21.2" customHeight="1">
      <c r="B20" s="29">
        <v>2020</v>
      </c>
      <c r="C20" s="15">
        <v>177.7</v>
      </c>
      <c r="D20" s="16">
        <v>59.7</v>
      </c>
      <c r="E20" s="16">
        <v>19.3</v>
      </c>
      <c r="F20" s="16">
        <v>-23.925</v>
      </c>
      <c r="G20" s="16">
        <v>-17.823</v>
      </c>
      <c r="H20" s="16"/>
      <c r="I20" s="16">
        <v>-34.7</v>
      </c>
      <c r="J20" s="36"/>
      <c r="K20" s="36">
        <f>D20+E20+F20</f>
        <v>55.075</v>
      </c>
      <c r="L20" s="36">
        <f>AVERAGE(K17:K20)</f>
        <v>19.5066875</v>
      </c>
      <c r="M20" s="16"/>
      <c r="N20" s="16">
        <f>-(I20-F20)+N19</f>
        <v>125.198</v>
      </c>
      <c r="O20" s="16"/>
      <c r="P20" s="16">
        <f>1+P19</f>
        <v>17</v>
      </c>
    </row>
    <row r="21" ht="21.2" customHeight="1">
      <c r="B21" s="28"/>
      <c r="C21" s="15">
        <v>194.1</v>
      </c>
      <c r="D21" s="16">
        <v>84.90000000000001</v>
      </c>
      <c r="E21" s="16">
        <v>-19.6</v>
      </c>
      <c r="F21" s="16">
        <v>-23.925</v>
      </c>
      <c r="G21" s="16">
        <v>-17.823</v>
      </c>
      <c r="H21" s="16"/>
      <c r="I21" s="16">
        <v>-35.9</v>
      </c>
      <c r="J21" s="36"/>
      <c r="K21" s="36">
        <f>D21+E21+F21</f>
        <v>41.375</v>
      </c>
      <c r="L21" s="36">
        <f>AVERAGE(K18:K21)</f>
        <v>29.871125</v>
      </c>
      <c r="M21" s="16"/>
      <c r="N21" s="16">
        <f>-(I21-F21)+N20</f>
        <v>137.173</v>
      </c>
      <c r="O21" s="16"/>
      <c r="P21" s="16">
        <f>1+P20</f>
        <v>18</v>
      </c>
    </row>
    <row r="22" ht="21.2" customHeight="1">
      <c r="B22" s="28"/>
      <c r="C22" s="15">
        <v>162.3</v>
      </c>
      <c r="D22" s="16">
        <v>33.8</v>
      </c>
      <c r="E22" s="16">
        <v>1.4</v>
      </c>
      <c r="F22" s="16">
        <v>-23.925</v>
      </c>
      <c r="G22" s="16">
        <v>-17.823</v>
      </c>
      <c r="H22" s="16"/>
      <c r="I22" s="16">
        <v>-35.3</v>
      </c>
      <c r="J22" s="36"/>
      <c r="K22" s="36">
        <f>D22+E22+F22</f>
        <v>11.275</v>
      </c>
      <c r="L22" s="36">
        <f>AVERAGE(K19:K22)</f>
        <v>38.3855625</v>
      </c>
      <c r="M22" s="16"/>
      <c r="N22" s="16">
        <f>-(I22-F22)+N21</f>
        <v>148.548</v>
      </c>
      <c r="O22" s="16"/>
      <c r="P22" s="16">
        <f>1+P21</f>
        <v>19</v>
      </c>
    </row>
    <row r="23" ht="21.2" customHeight="1">
      <c r="B23" s="28"/>
      <c r="C23" s="37">
        <f>675-SUM(C20:C22)</f>
        <v>140.9</v>
      </c>
      <c r="D23" s="36">
        <f>203.9-SUM(D20:D22)</f>
        <v>25.5</v>
      </c>
      <c r="E23" s="36">
        <f>-9.5-SUM(E20:E22)</f>
        <v>-10.6</v>
      </c>
      <c r="F23" s="36">
        <v>-23.925</v>
      </c>
      <c r="G23" s="16">
        <v>-17.823</v>
      </c>
      <c r="H23" s="36"/>
      <c r="I23" s="36">
        <f>-167-SUM(I20:I22)</f>
        <v>-61.1</v>
      </c>
      <c r="J23" s="36"/>
      <c r="K23" s="36">
        <f>D23+E23+F23</f>
        <v>-9.025</v>
      </c>
      <c r="L23" s="36">
        <f>AVERAGE(K20:K23)</f>
        <v>24.675</v>
      </c>
      <c r="M23" s="16"/>
      <c r="N23" s="16">
        <f>-(I23-F23)+N22</f>
        <v>185.723</v>
      </c>
      <c r="O23" s="16"/>
      <c r="P23" s="16">
        <f>1+P22</f>
        <v>20</v>
      </c>
    </row>
    <row r="24" ht="21.2" customHeight="1">
      <c r="B24" s="29">
        <v>2021</v>
      </c>
      <c r="C24" s="37">
        <v>125.5</v>
      </c>
      <c r="D24" s="36">
        <v>-5.7</v>
      </c>
      <c r="E24" s="36">
        <v>-1.6</v>
      </c>
      <c r="F24" s="36">
        <v>-21.8</v>
      </c>
      <c r="G24" s="36">
        <f>-27.595-F24</f>
        <v>-5.795</v>
      </c>
      <c r="H24" s="36"/>
      <c r="I24" s="36">
        <v>-27.6</v>
      </c>
      <c r="J24" s="36"/>
      <c r="K24" s="36">
        <f>D24+E24+F24</f>
        <v>-29.1</v>
      </c>
      <c r="L24" s="36">
        <f>AVERAGE(K21:K24)</f>
        <v>3.63125</v>
      </c>
      <c r="M24" s="16"/>
      <c r="N24" s="16">
        <f>-(I24-F24)+N23</f>
        <v>191.523</v>
      </c>
      <c r="O24" s="16"/>
      <c r="P24" s="16">
        <f>1+P23</f>
        <v>21</v>
      </c>
    </row>
    <row r="25" ht="21.2" customHeight="1">
      <c r="B25" s="28"/>
      <c r="C25" s="37">
        <f>292.5-C24</f>
        <v>167</v>
      </c>
      <c r="D25" s="36">
        <f>59.8-D24</f>
        <v>65.5</v>
      </c>
      <c r="E25" s="36">
        <f>-16.3-E24</f>
        <v>-14.7</v>
      </c>
      <c r="F25" s="36">
        <f>-43.2-F24</f>
        <v>-21.4</v>
      </c>
      <c r="G25" s="36">
        <f>-49.169-F25-F24-G24-H25</f>
        <v>-0.194</v>
      </c>
      <c r="H25" s="36">
        <v>0.02</v>
      </c>
      <c r="I25" s="36">
        <f>-49.2-I24</f>
        <v>-21.6</v>
      </c>
      <c r="J25" s="36"/>
      <c r="K25" s="36">
        <f>D25+E25+F25</f>
        <v>29.4</v>
      </c>
      <c r="L25" s="36">
        <f>AVERAGE(K22:K25)</f>
        <v>0.6375</v>
      </c>
      <c r="M25" s="16"/>
      <c r="N25" s="16">
        <f>-(I25-F25)+N24</f>
        <v>191.723</v>
      </c>
      <c r="O25" s="16"/>
      <c r="P25" s="16">
        <f>1+P24</f>
        <v>22</v>
      </c>
    </row>
    <row r="26" ht="21.2" customHeight="1">
      <c r="B26" s="28"/>
      <c r="C26" s="37">
        <f>509.1-SUM(C24:C25)</f>
        <v>216.6</v>
      </c>
      <c r="D26" s="36">
        <f>79.7-SUM(D24:D25)</f>
        <v>19.9</v>
      </c>
      <c r="E26" s="36">
        <f>-109.6-SUM(E24:E25)</f>
        <v>-93.3</v>
      </c>
      <c r="F26" s="36">
        <f>-68.7-SUM(F24:F25)</f>
        <v>-25.5</v>
      </c>
      <c r="G26" s="36">
        <f>275.098-F26-F25-F24-G25-G24-H26-H25-H24</f>
        <v>349.767</v>
      </c>
      <c r="H26" s="36">
        <f>0.02-H25</f>
        <v>0</v>
      </c>
      <c r="I26" s="36">
        <f>275.1-SUM(I24:I25)</f>
        <v>324.3</v>
      </c>
      <c r="J26" s="36"/>
      <c r="K26" s="36">
        <f>D26+E26+F26</f>
        <v>-98.90000000000001</v>
      </c>
      <c r="L26" s="36">
        <f>AVERAGE(K23:K26)</f>
        <v>-26.90625</v>
      </c>
      <c r="M26" s="16"/>
      <c r="N26" s="16">
        <f>-(I26-F26)+N25</f>
        <v>-158.077</v>
      </c>
      <c r="O26" s="16"/>
      <c r="P26" s="16">
        <f>1+P25</f>
        <v>23</v>
      </c>
    </row>
    <row r="27" ht="21.2" customHeight="1">
      <c r="B27" s="28"/>
      <c r="C27" s="37">
        <f>764.8-SUM(C24:C26)</f>
        <v>255.7</v>
      </c>
      <c r="D27" s="36">
        <f>144.1-SUM(D24:D26)</f>
        <v>64.40000000000001</v>
      </c>
      <c r="E27" s="36">
        <f>-331-SUM(E24:E26)</f>
        <v>-221.4</v>
      </c>
      <c r="F27" s="36">
        <f>-91.9-SUM(F24:F26)</f>
        <v>-23.2</v>
      </c>
      <c r="G27" s="36">
        <f>I27-H27-F27</f>
        <v>17.6</v>
      </c>
      <c r="H27" s="36">
        <f>0.02-SUM(H24:H26)</f>
        <v>0</v>
      </c>
      <c r="I27" s="36">
        <f>269.5-SUM(I24:I26)</f>
        <v>-5.6</v>
      </c>
      <c r="J27" s="36"/>
      <c r="K27" s="36">
        <f>D27+E27+F27</f>
        <v>-180.2</v>
      </c>
      <c r="L27" s="36">
        <f>AVERAGE(K24:K27)</f>
        <v>-69.7</v>
      </c>
      <c r="M27" s="16"/>
      <c r="N27" s="16">
        <f>-(I27-F27)+N26</f>
        <v>-175.677</v>
      </c>
      <c r="O27" s="16"/>
      <c r="P27" s="16">
        <f>1+P26</f>
        <v>24</v>
      </c>
    </row>
    <row r="28" ht="21.2" customHeight="1">
      <c r="B28" s="29">
        <v>2022</v>
      </c>
      <c r="C28" s="37">
        <v>305.6</v>
      </c>
      <c r="D28" s="36">
        <v>23.3</v>
      </c>
      <c r="E28" s="36">
        <v>-94.90000000000001</v>
      </c>
      <c r="F28" s="36">
        <v>-24.9</v>
      </c>
      <c r="G28" s="36">
        <f>I28-H28-F28</f>
        <v>42.1</v>
      </c>
      <c r="H28" s="36">
        <v>-2.8</v>
      </c>
      <c r="I28" s="36">
        <v>14.4</v>
      </c>
      <c r="J28" s="36">
        <f>I28+E28+D28</f>
        <v>-57.2</v>
      </c>
      <c r="K28" s="36">
        <f>D28+E28+F28</f>
        <v>-96.5</v>
      </c>
      <c r="L28" s="36">
        <f>AVERAGE(K25:K28)</f>
        <v>-86.55</v>
      </c>
      <c r="M28" s="16">
        <v>14.2011456</v>
      </c>
      <c r="N28" s="16">
        <f>-(I28-F28)+N27</f>
        <v>-214.977</v>
      </c>
      <c r="O28" s="16">
        <v>229.7291376</v>
      </c>
      <c r="P28" s="16">
        <f>1+P27</f>
        <v>25</v>
      </c>
    </row>
    <row r="29" ht="21.2" customHeight="1">
      <c r="B29" s="28"/>
      <c r="C29" s="37"/>
      <c r="D29" s="36"/>
      <c r="E29" s="36"/>
      <c r="F29" s="36"/>
      <c r="G29" s="36"/>
      <c r="H29" s="36"/>
      <c r="I29" s="36"/>
      <c r="J29" s="36"/>
      <c r="K29" s="36"/>
      <c r="L29" s="19"/>
      <c r="M29" s="36">
        <f>SUM('Model'!F9:F11)</f>
        <v>-5.429189577346</v>
      </c>
      <c r="N29" s="19"/>
      <c r="O29" s="16">
        <f>'Model'!F35</f>
        <v>-245.674528107003</v>
      </c>
      <c r="P29" s="16"/>
    </row>
    <row r="30" ht="21.2" customHeight="1">
      <c r="B30" s="28"/>
      <c r="C30" s="37"/>
      <c r="D30" s="36"/>
      <c r="E30" s="36"/>
      <c r="F30" s="36"/>
      <c r="G30" s="36"/>
      <c r="H30" s="36"/>
      <c r="I30" s="36"/>
      <c r="J30" s="36"/>
      <c r="K30" s="36"/>
      <c r="L30" s="36"/>
      <c r="M30" s="16"/>
      <c r="N30" s="16"/>
      <c r="O30" s="16"/>
      <c r="P30" s="16"/>
    </row>
  </sheetData>
  <mergeCells count="1">
    <mergeCell ref="B2:P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8" customWidth="1"/>
    <col min="2" max="11" width="9.21875" style="38" customWidth="1"/>
    <col min="12" max="16384" width="16.3516" style="38" customWidth="1"/>
  </cols>
  <sheetData>
    <row r="1" ht="7.5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50</v>
      </c>
      <c r="D3" t="s" s="5">
        <v>51</v>
      </c>
      <c r="E3" t="s" s="5">
        <v>23</v>
      </c>
      <c r="F3" t="s" s="5">
        <v>24</v>
      </c>
      <c r="G3" t="s" s="5">
        <v>12</v>
      </c>
      <c r="H3" t="s" s="5">
        <v>15</v>
      </c>
      <c r="I3" t="s" s="5">
        <v>52</v>
      </c>
      <c r="J3" t="s" s="5">
        <v>53</v>
      </c>
      <c r="K3" t="s" s="5">
        <v>36</v>
      </c>
    </row>
    <row r="4" ht="20.25" customHeight="1">
      <c r="B4" s="23">
        <v>2016</v>
      </c>
      <c r="C4" s="34">
        <v>122</v>
      </c>
      <c r="D4" s="26">
        <v>833</v>
      </c>
      <c r="E4" s="26">
        <f>D4-C4</f>
        <v>711</v>
      </c>
      <c r="F4" s="26">
        <f>F5-'Sales'!E4</f>
        <v>817.449999999990</v>
      </c>
      <c r="G4" s="26">
        <v>743</v>
      </c>
      <c r="H4" s="26">
        <v>90</v>
      </c>
      <c r="I4" s="26">
        <f>G4+H4-C4-E4</f>
        <v>0</v>
      </c>
      <c r="J4" s="26">
        <f>C4-G4</f>
        <v>-621</v>
      </c>
      <c r="K4" s="26"/>
    </row>
    <row r="5" ht="20.05" customHeight="1">
      <c r="B5" s="28"/>
      <c r="C5" s="15">
        <v>68</v>
      </c>
      <c r="D5" s="16">
        <v>824</v>
      </c>
      <c r="E5" s="16">
        <f>D5-C5</f>
        <v>756</v>
      </c>
      <c r="F5" s="16">
        <f>F6-'Sales'!E5</f>
        <v>840.899999999990</v>
      </c>
      <c r="G5" s="16">
        <v>729</v>
      </c>
      <c r="H5" s="16">
        <v>95</v>
      </c>
      <c r="I5" s="16">
        <f>G5+H5-C5-E5</f>
        <v>0</v>
      </c>
      <c r="J5" s="16">
        <f>C5-G5</f>
        <v>-661</v>
      </c>
      <c r="K5" s="16"/>
    </row>
    <row r="6" ht="20.05" customHeight="1">
      <c r="B6" s="28"/>
      <c r="C6" s="15">
        <v>134</v>
      </c>
      <c r="D6" s="16">
        <v>839</v>
      </c>
      <c r="E6" s="16">
        <f>D6-C6</f>
        <v>705</v>
      </c>
      <c r="F6" s="16">
        <f>F7-'Sales'!E6</f>
        <v>864.349999999990</v>
      </c>
      <c r="G6" s="16">
        <v>725</v>
      </c>
      <c r="H6" s="16">
        <v>114</v>
      </c>
      <c r="I6" s="16">
        <f>G6+H6-C6-E6</f>
        <v>0</v>
      </c>
      <c r="J6" s="16">
        <f>C6-G6</f>
        <v>-591</v>
      </c>
      <c r="K6" s="16"/>
    </row>
    <row r="7" ht="20.05" customHeight="1">
      <c r="B7" s="28"/>
      <c r="C7" s="15">
        <v>67</v>
      </c>
      <c r="D7" s="16">
        <v>882</v>
      </c>
      <c r="E7" s="16">
        <f>D7-C7</f>
        <v>815</v>
      </c>
      <c r="F7" s="16">
        <f>F8-'Sales'!E7</f>
        <v>887.799999999990</v>
      </c>
      <c r="G7" s="16">
        <v>756</v>
      </c>
      <c r="H7" s="16">
        <v>126</v>
      </c>
      <c r="I7" s="16">
        <f>G7+H7-C7-E7</f>
        <v>0</v>
      </c>
      <c r="J7" s="16">
        <f>C7-G7</f>
        <v>-689</v>
      </c>
      <c r="K7" s="16"/>
    </row>
    <row r="8" ht="20.05" customHeight="1">
      <c r="B8" s="29">
        <v>2017</v>
      </c>
      <c r="C8" s="15">
        <v>74</v>
      </c>
      <c r="D8" s="16">
        <v>863</v>
      </c>
      <c r="E8" s="16">
        <f>D8-C8</f>
        <v>789</v>
      </c>
      <c r="F8" s="16">
        <f>F9-'Sales'!E8</f>
        <v>914.824999999990</v>
      </c>
      <c r="G8" s="16">
        <v>713</v>
      </c>
      <c r="H8" s="16">
        <v>150</v>
      </c>
      <c r="I8" s="16">
        <f>G8+H8-C8-E8</f>
        <v>0</v>
      </c>
      <c r="J8" s="16">
        <f>C8-G8</f>
        <v>-639</v>
      </c>
      <c r="K8" s="16"/>
    </row>
    <row r="9" ht="20.05" customHeight="1">
      <c r="B9" s="28"/>
      <c r="C9" s="15">
        <v>71</v>
      </c>
      <c r="D9" s="16">
        <v>865</v>
      </c>
      <c r="E9" s="16">
        <f>D9-C9</f>
        <v>794</v>
      </c>
      <c r="F9" s="16">
        <f>F10-'Sales'!E9</f>
        <v>941.849999999990</v>
      </c>
      <c r="G9" s="16">
        <v>726</v>
      </c>
      <c r="H9" s="16">
        <v>139</v>
      </c>
      <c r="I9" s="16">
        <f>G9+H9-C9-E9</f>
        <v>0</v>
      </c>
      <c r="J9" s="16">
        <f>C9-G9</f>
        <v>-655</v>
      </c>
      <c r="K9" s="16"/>
    </row>
    <row r="10" ht="20.05" customHeight="1">
      <c r="B10" s="28"/>
      <c r="C10" s="15">
        <v>93</v>
      </c>
      <c r="D10" s="16">
        <v>899</v>
      </c>
      <c r="E10" s="16">
        <f>D10-C10</f>
        <v>806</v>
      </c>
      <c r="F10" s="16">
        <f>F11-'Sales'!E10</f>
        <v>968.874999999990</v>
      </c>
      <c r="G10" s="16">
        <v>735</v>
      </c>
      <c r="H10" s="16">
        <v>164</v>
      </c>
      <c r="I10" s="16">
        <f>G10+H10-C10-E10</f>
        <v>0</v>
      </c>
      <c r="J10" s="16">
        <f>C10-G10</f>
        <v>-642</v>
      </c>
      <c r="K10" s="16"/>
    </row>
    <row r="11" ht="20.05" customHeight="1">
      <c r="B11" s="28"/>
      <c r="C11" s="15">
        <v>68</v>
      </c>
      <c r="D11" s="16">
        <v>946</v>
      </c>
      <c r="E11" s="16">
        <f>D11-C11</f>
        <v>878</v>
      </c>
      <c r="F11" s="16">
        <f>F12-'Sales'!E11</f>
        <v>995.899999999990</v>
      </c>
      <c r="G11" s="16">
        <v>768</v>
      </c>
      <c r="H11" s="16">
        <v>177</v>
      </c>
      <c r="I11" s="16">
        <f>G11+H11-C11-E11</f>
        <v>-1</v>
      </c>
      <c r="J11" s="16">
        <f>C11-G11</f>
        <v>-700</v>
      </c>
      <c r="K11" s="16"/>
    </row>
    <row r="12" ht="20.05" customHeight="1">
      <c r="B12" s="29">
        <v>2018</v>
      </c>
      <c r="C12" s="15">
        <v>79</v>
      </c>
      <c r="D12" s="16">
        <v>1009</v>
      </c>
      <c r="E12" s="16">
        <f>D12-C12</f>
        <v>930</v>
      </c>
      <c r="F12" s="16">
        <f>F13-'Sales'!E12</f>
        <v>1028.999999999990</v>
      </c>
      <c r="G12" s="16">
        <v>821</v>
      </c>
      <c r="H12" s="16">
        <v>188</v>
      </c>
      <c r="I12" s="16">
        <f>G12+H12-C12-E12</f>
        <v>0</v>
      </c>
      <c r="J12" s="16">
        <f>C12-G12</f>
        <v>-742</v>
      </c>
      <c r="K12" s="16"/>
    </row>
    <row r="13" ht="20.05" customHeight="1">
      <c r="B13" s="28"/>
      <c r="C13" s="15">
        <v>66</v>
      </c>
      <c r="D13" s="16">
        <v>1074</v>
      </c>
      <c r="E13" s="16">
        <f>D13-C13</f>
        <v>1008</v>
      </c>
      <c r="F13" s="16">
        <f>F14-'Sales'!E13</f>
        <v>1062.099999999990</v>
      </c>
      <c r="G13" s="16">
        <v>879</v>
      </c>
      <c r="H13" s="16">
        <v>195</v>
      </c>
      <c r="I13" s="16">
        <f>G13+H13-C13-E13</f>
        <v>0</v>
      </c>
      <c r="J13" s="16">
        <f>C13-G13</f>
        <v>-813</v>
      </c>
      <c r="K13" s="16"/>
    </row>
    <row r="14" ht="20.05" customHeight="1">
      <c r="B14" s="28"/>
      <c r="C14" s="15">
        <v>53</v>
      </c>
      <c r="D14" s="16">
        <v>1140</v>
      </c>
      <c r="E14" s="16">
        <f>D14-C14</f>
        <v>1087</v>
      </c>
      <c r="F14" s="16">
        <f>F15-'Sales'!E14</f>
        <v>1095.199999999990</v>
      </c>
      <c r="G14" s="16">
        <v>911</v>
      </c>
      <c r="H14" s="16">
        <v>229</v>
      </c>
      <c r="I14" s="16">
        <f>G14+H14-C14-E14</f>
        <v>0</v>
      </c>
      <c r="J14" s="16">
        <f>C14-G14</f>
        <v>-858</v>
      </c>
      <c r="K14" s="16"/>
    </row>
    <row r="15" ht="20.05" customHeight="1">
      <c r="B15" s="28"/>
      <c r="C15" s="15">
        <v>67</v>
      </c>
      <c r="D15" s="16">
        <v>1184</v>
      </c>
      <c r="E15" s="16">
        <f>D15-C15</f>
        <v>1117</v>
      </c>
      <c r="F15" s="16">
        <f>F16-'Sales'!E15</f>
        <v>1128.299999999990</v>
      </c>
      <c r="G15" s="16">
        <v>923</v>
      </c>
      <c r="H15" s="16">
        <v>261</v>
      </c>
      <c r="I15" s="16">
        <f>G15+H15-C15-E15</f>
        <v>0</v>
      </c>
      <c r="J15" s="16">
        <f>C15-G15</f>
        <v>-856</v>
      </c>
      <c r="K15" s="16"/>
    </row>
    <row r="16" ht="20.05" customHeight="1">
      <c r="B16" s="29">
        <v>2019</v>
      </c>
      <c r="C16" s="15">
        <v>96</v>
      </c>
      <c r="D16" s="16">
        <v>1203</v>
      </c>
      <c r="E16" s="16">
        <f>D16-C16</f>
        <v>1107</v>
      </c>
      <c r="F16" s="16">
        <f>F17-'Sales'!E16</f>
        <v>1164.774999999990</v>
      </c>
      <c r="G16" s="16">
        <v>940</v>
      </c>
      <c r="H16" s="16">
        <v>263</v>
      </c>
      <c r="I16" s="16">
        <f>G16+H16-C16-E16</f>
        <v>0</v>
      </c>
      <c r="J16" s="16">
        <f>C16-G16</f>
        <v>-844</v>
      </c>
      <c r="K16" s="16"/>
    </row>
    <row r="17" ht="20.05" customHeight="1">
      <c r="B17" s="28"/>
      <c r="C17" s="15">
        <v>82</v>
      </c>
      <c r="D17" s="16">
        <v>1182</v>
      </c>
      <c r="E17" s="16">
        <f>D17-C17</f>
        <v>1100</v>
      </c>
      <c r="F17" s="16">
        <f>F18-'Sales'!E17</f>
        <v>1201.249999999990</v>
      </c>
      <c r="G17" s="16">
        <v>915</v>
      </c>
      <c r="H17" s="16">
        <v>267</v>
      </c>
      <c r="I17" s="16">
        <f>G17+H17-C17-E17</f>
        <v>0</v>
      </c>
      <c r="J17" s="16">
        <f>C17-G17</f>
        <v>-833</v>
      </c>
      <c r="K17" s="16"/>
    </row>
    <row r="18" ht="20.05" customHeight="1">
      <c r="B18" s="28"/>
      <c r="C18" s="15">
        <v>50</v>
      </c>
      <c r="D18" s="16">
        <v>1168</v>
      </c>
      <c r="E18" s="16">
        <f>D18-C18</f>
        <v>1118</v>
      </c>
      <c r="F18" s="16">
        <f>F19-'Sales'!E18</f>
        <v>1237.724999999990</v>
      </c>
      <c r="G18" s="16">
        <v>876</v>
      </c>
      <c r="H18" s="16">
        <v>292</v>
      </c>
      <c r="I18" s="16">
        <f>G18+H18-C18-E18</f>
        <v>0</v>
      </c>
      <c r="J18" s="16">
        <f>C18-G18</f>
        <v>-826</v>
      </c>
      <c r="K18" s="16"/>
    </row>
    <row r="19" ht="20.05" customHeight="1">
      <c r="B19" s="28"/>
      <c r="C19" s="15">
        <v>88</v>
      </c>
      <c r="D19" s="16">
        <v>1182</v>
      </c>
      <c r="E19" s="16">
        <f>D19-C19</f>
        <v>1094</v>
      </c>
      <c r="F19" s="16">
        <f>F20-'Sales'!E19</f>
        <v>1274.199999999990</v>
      </c>
      <c r="G19" s="16">
        <v>901</v>
      </c>
      <c r="H19" s="16">
        <v>281</v>
      </c>
      <c r="I19" s="16">
        <f>G19+H19-C19-E19</f>
        <v>0</v>
      </c>
      <c r="J19" s="16">
        <f>C19-G19</f>
        <v>-813</v>
      </c>
      <c r="K19" s="16"/>
    </row>
    <row r="20" ht="20.05" customHeight="1">
      <c r="B20" s="29">
        <v>2020</v>
      </c>
      <c r="C20" s="15">
        <v>117</v>
      </c>
      <c r="D20" s="16">
        <v>1118</v>
      </c>
      <c r="E20" s="16">
        <f>D20-C20</f>
        <v>1001</v>
      </c>
      <c r="F20" s="16">
        <f>F21-'Sales'!E20</f>
        <v>1310.466666666660</v>
      </c>
      <c r="G20" s="16">
        <v>860</v>
      </c>
      <c r="H20" s="16">
        <v>258</v>
      </c>
      <c r="I20" s="16">
        <f>G20+H20-C20-E20</f>
        <v>0</v>
      </c>
      <c r="J20" s="16">
        <f>C20-G20</f>
        <v>-743</v>
      </c>
      <c r="K20" s="16"/>
    </row>
    <row r="21" ht="20.05" customHeight="1">
      <c r="B21" s="28"/>
      <c r="C21" s="15">
        <v>159</v>
      </c>
      <c r="D21" s="16">
        <v>1111</v>
      </c>
      <c r="E21" s="16">
        <f>D21-C21</f>
        <v>952</v>
      </c>
      <c r="F21" s="16">
        <f>F22-'Sales'!E21</f>
        <v>1346.733333333330</v>
      </c>
      <c r="G21" s="16">
        <v>836</v>
      </c>
      <c r="H21" s="16">
        <v>275</v>
      </c>
      <c r="I21" s="16">
        <f>G21+H21-C21-E21</f>
        <v>0</v>
      </c>
      <c r="J21" s="16">
        <f>C21-G21</f>
        <v>-677</v>
      </c>
      <c r="K21" s="16"/>
    </row>
    <row r="22" ht="20.05" customHeight="1">
      <c r="B22" s="28"/>
      <c r="C22" s="15">
        <v>154</v>
      </c>
      <c r="D22" s="16">
        <v>1041</v>
      </c>
      <c r="E22" s="16">
        <f>D22-C22</f>
        <v>887</v>
      </c>
      <c r="F22" s="16">
        <f>100+1283</f>
        <v>1383</v>
      </c>
      <c r="G22" s="16">
        <v>756</v>
      </c>
      <c r="H22" s="16">
        <v>285</v>
      </c>
      <c r="I22" s="16">
        <f>G22+H22-C22-E22</f>
        <v>0</v>
      </c>
      <c r="J22" s="16">
        <f>C22-G22</f>
        <v>-602</v>
      </c>
      <c r="K22" s="16"/>
    </row>
    <row r="23" ht="20.05" customHeight="1">
      <c r="B23" s="28"/>
      <c r="C23" s="15">
        <v>112</v>
      </c>
      <c r="D23" s="16">
        <v>974</v>
      </c>
      <c r="E23" s="16">
        <f>D23-C23</f>
        <v>862</v>
      </c>
      <c r="F23" s="16">
        <v>1404</v>
      </c>
      <c r="G23" s="16">
        <v>710</v>
      </c>
      <c r="H23" s="30">
        <v>264</v>
      </c>
      <c r="I23" s="16">
        <f>G23+H23-C23-E23</f>
        <v>0</v>
      </c>
      <c r="J23" s="16">
        <f>C23-G23</f>
        <v>-598</v>
      </c>
      <c r="K23" s="16"/>
    </row>
    <row r="24" ht="20.05" customHeight="1">
      <c r="B24" s="29">
        <v>2021</v>
      </c>
      <c r="C24" s="15">
        <v>76</v>
      </c>
      <c r="D24" s="16">
        <v>952</v>
      </c>
      <c r="E24" s="16">
        <f>D24-C24</f>
        <v>876</v>
      </c>
      <c r="F24" s="16">
        <v>1436</v>
      </c>
      <c r="G24" s="16">
        <v>714</v>
      </c>
      <c r="H24" s="30">
        <v>238</v>
      </c>
      <c r="I24" s="16">
        <f>G24+H24-C24-E24</f>
        <v>0</v>
      </c>
      <c r="J24" s="16">
        <f>C24-G24</f>
        <v>-638</v>
      </c>
      <c r="K24" s="16"/>
    </row>
    <row r="25" ht="20.05" customHeight="1">
      <c r="B25" s="28"/>
      <c r="C25" s="15">
        <v>105</v>
      </c>
      <c r="D25" s="16">
        <v>1010</v>
      </c>
      <c r="E25" s="16">
        <f>D25-C25</f>
        <v>905</v>
      </c>
      <c r="F25" s="16">
        <f>F24+'Sales'!E24</f>
        <v>1469</v>
      </c>
      <c r="G25" s="16">
        <v>779</v>
      </c>
      <c r="H25" s="36">
        <v>230.8</v>
      </c>
      <c r="I25" s="16">
        <f>G25+H25-C25-E25</f>
        <v>-0.2</v>
      </c>
      <c r="J25" s="16">
        <f>C25-G25</f>
        <v>-674</v>
      </c>
      <c r="K25" s="16"/>
    </row>
    <row r="26" ht="20.05" customHeight="1">
      <c r="B26" s="28"/>
      <c r="C26" s="15">
        <v>357</v>
      </c>
      <c r="D26" s="16">
        <v>1392</v>
      </c>
      <c r="E26" s="16">
        <f>D26-C26</f>
        <v>1035</v>
      </c>
      <c r="F26" s="16">
        <v>1482</v>
      </c>
      <c r="G26" s="16">
        <v>1144</v>
      </c>
      <c r="H26" s="30">
        <v>248</v>
      </c>
      <c r="I26" s="16">
        <f>G26+H26-C26-E26</f>
        <v>0</v>
      </c>
      <c r="J26" s="16">
        <f>C26-G26</f>
        <v>-787</v>
      </c>
      <c r="K26" s="16"/>
    </row>
    <row r="27" ht="20.05" customHeight="1">
      <c r="B27" s="28"/>
      <c r="C27" s="15">
        <v>194</v>
      </c>
      <c r="D27" s="16">
        <v>1636</v>
      </c>
      <c r="E27" s="16">
        <f>D27-C27</f>
        <v>1442</v>
      </c>
      <c r="F27" s="16">
        <v>1521</v>
      </c>
      <c r="G27" s="16">
        <v>1370</v>
      </c>
      <c r="H27" s="30">
        <v>266</v>
      </c>
      <c r="I27" s="16">
        <f>G27+H27-C27-E27</f>
        <v>0</v>
      </c>
      <c r="J27" s="16">
        <f>C27-G27</f>
        <v>-1176</v>
      </c>
      <c r="K27" s="16"/>
    </row>
    <row r="28" ht="20.05" customHeight="1">
      <c r="B28" s="29">
        <v>2022</v>
      </c>
      <c r="C28" s="15">
        <v>138</v>
      </c>
      <c r="D28" s="16">
        <v>1633</v>
      </c>
      <c r="E28" s="16">
        <f>D28-C28</f>
        <v>1495</v>
      </c>
      <c r="F28" s="16">
        <v>1558</v>
      </c>
      <c r="G28" s="16">
        <v>1372</v>
      </c>
      <c r="H28" s="30">
        <v>261</v>
      </c>
      <c r="I28" s="16">
        <f>G28+H28-C28-E28</f>
        <v>0</v>
      </c>
      <c r="J28" s="16">
        <f>C28-G28</f>
        <v>-1234</v>
      </c>
      <c r="K28" s="16">
        <v>-1338.7126469455</v>
      </c>
    </row>
    <row r="29" ht="20.05" customHeight="1">
      <c r="B29" s="28"/>
      <c r="C29" s="15"/>
      <c r="D29" s="16"/>
      <c r="E29" s="16"/>
      <c r="F29" s="16"/>
      <c r="G29" s="16"/>
      <c r="H29" s="30"/>
      <c r="I29" s="16"/>
      <c r="J29" s="16"/>
      <c r="K29" s="16">
        <f>'Model'!F32</f>
        <v>-1165.097528107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9" customWidth="1"/>
    <col min="2" max="4" width="9.9375" style="39" customWidth="1"/>
    <col min="5" max="16384" width="16.3516" style="39" customWidth="1"/>
  </cols>
  <sheetData>
    <row r="1" ht="30.75" customHeight="1"/>
    <row r="2" ht="27.65" customHeight="1">
      <c r="B2" t="s" s="2">
        <v>54</v>
      </c>
      <c r="C2" s="2"/>
      <c r="D2" s="2"/>
    </row>
    <row r="3" ht="20.25" customHeight="1">
      <c r="B3" s="4"/>
      <c r="C3" t="s" s="40">
        <v>55</v>
      </c>
      <c r="D3" t="s" s="40">
        <v>39</v>
      </c>
    </row>
    <row r="4" ht="20.25" customHeight="1">
      <c r="B4" s="23">
        <v>2016</v>
      </c>
      <c r="C4" s="41">
        <v>99</v>
      </c>
      <c r="D4" s="42"/>
    </row>
    <row r="5" ht="20.05" customHeight="1">
      <c r="B5" s="28"/>
      <c r="C5" s="43">
        <v>232</v>
      </c>
      <c r="D5" s="44"/>
    </row>
    <row r="6" ht="20.05" customHeight="1">
      <c r="B6" s="28"/>
      <c r="C6" s="43">
        <v>226</v>
      </c>
      <c r="D6" s="44"/>
    </row>
    <row r="7" ht="20.05" customHeight="1">
      <c r="B7" s="28"/>
      <c r="C7" s="43">
        <v>510</v>
      </c>
      <c r="D7" s="44"/>
    </row>
    <row r="8" ht="20.05" customHeight="1">
      <c r="B8" s="29">
        <v>2017</v>
      </c>
      <c r="C8" s="43">
        <v>940</v>
      </c>
      <c r="D8" s="44"/>
    </row>
    <row r="9" ht="20.05" customHeight="1">
      <c r="B9" s="28"/>
      <c r="C9" s="43">
        <v>850</v>
      </c>
      <c r="D9" s="44"/>
    </row>
    <row r="10" ht="20.05" customHeight="1">
      <c r="B10" s="28"/>
      <c r="C10" s="43">
        <v>905</v>
      </c>
      <c r="D10" s="44"/>
    </row>
    <row r="11" ht="20.05" customHeight="1">
      <c r="B11" s="28"/>
      <c r="C11" s="43">
        <v>715</v>
      </c>
      <c r="D11" s="44"/>
    </row>
    <row r="12" ht="20.05" customHeight="1">
      <c r="B12" s="29">
        <v>2018</v>
      </c>
      <c r="C12" s="43">
        <v>945</v>
      </c>
      <c r="D12" s="44"/>
    </row>
    <row r="13" ht="20.05" customHeight="1">
      <c r="B13" s="28"/>
      <c r="C13" s="43">
        <v>735</v>
      </c>
      <c r="D13" s="44"/>
    </row>
    <row r="14" ht="20.05" customHeight="1">
      <c r="B14" s="28"/>
      <c r="C14" s="43">
        <v>750</v>
      </c>
      <c r="D14" s="44"/>
    </row>
    <row r="15" ht="20.05" customHeight="1">
      <c r="B15" s="28"/>
      <c r="C15" s="43">
        <v>525</v>
      </c>
      <c r="D15" s="44"/>
    </row>
    <row r="16" ht="20.05" customHeight="1">
      <c r="B16" s="29">
        <v>2019</v>
      </c>
      <c r="C16" s="43">
        <v>570</v>
      </c>
      <c r="D16" s="44"/>
    </row>
    <row r="17" ht="20.05" customHeight="1">
      <c r="B17" s="28"/>
      <c r="C17" s="43">
        <v>515</v>
      </c>
      <c r="D17" s="44"/>
    </row>
    <row r="18" ht="20.05" customHeight="1">
      <c r="B18" s="28"/>
      <c r="C18" s="43">
        <v>326</v>
      </c>
      <c r="D18" s="44"/>
    </row>
    <row r="19" ht="20.05" customHeight="1">
      <c r="B19" s="28"/>
      <c r="C19" s="43">
        <v>280</v>
      </c>
      <c r="D19" s="44"/>
    </row>
    <row r="20" ht="20.05" customHeight="1">
      <c r="B20" s="29">
        <v>2020</v>
      </c>
      <c r="C20" s="15">
        <v>102</v>
      </c>
      <c r="D20" s="44"/>
    </row>
    <row r="21" ht="20.05" customHeight="1">
      <c r="B21" s="28"/>
      <c r="C21" s="15">
        <v>136</v>
      </c>
      <c r="D21" s="44"/>
    </row>
    <row r="22" ht="20.05" customHeight="1">
      <c r="B22" s="28"/>
      <c r="C22" s="15">
        <v>228</v>
      </c>
      <c r="D22" s="44"/>
    </row>
    <row r="23" ht="20.05" customHeight="1">
      <c r="B23" s="28"/>
      <c r="C23" s="15">
        <v>386</v>
      </c>
      <c r="D23" s="44"/>
    </row>
    <row r="24" ht="20.05" customHeight="1">
      <c r="B24" s="29">
        <v>2021</v>
      </c>
      <c r="C24" s="15">
        <v>380</v>
      </c>
      <c r="D24" s="44"/>
    </row>
    <row r="25" ht="20.05" customHeight="1">
      <c r="B25" s="28"/>
      <c r="C25" s="15">
        <v>338</v>
      </c>
      <c r="D25" s="44"/>
    </row>
    <row r="26" ht="20.05" customHeight="1">
      <c r="B26" s="28"/>
      <c r="C26" s="15">
        <v>330</v>
      </c>
      <c r="D26" s="44"/>
    </row>
    <row r="27" ht="20.05" customHeight="1">
      <c r="B27" s="28"/>
      <c r="C27" s="15">
        <v>264</v>
      </c>
      <c r="D27" s="45">
        <v>432.095206023679</v>
      </c>
    </row>
    <row r="28" ht="20.05" customHeight="1">
      <c r="B28" s="29">
        <v>2022</v>
      </c>
      <c r="C28" s="15">
        <v>400</v>
      </c>
      <c r="D28" s="45">
        <v>754.686832438617</v>
      </c>
    </row>
    <row r="29" ht="20.05" customHeight="1">
      <c r="B29" s="28"/>
      <c r="C29" s="15">
        <v>545</v>
      </c>
      <c r="D29" s="45">
        <v>806.479066037346</v>
      </c>
    </row>
    <row r="30" ht="20.05" customHeight="1">
      <c r="B30" s="28"/>
      <c r="C30" s="15"/>
      <c r="D30" s="45">
        <f>'Model'!F46</f>
        <v>752.492521992354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