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<sst xmlns="http://schemas.openxmlformats.org/spreadsheetml/2006/main" uniqueCount="51">
  <si>
    <t>Financial model</t>
  </si>
  <si>
    <t>Rpbn</t>
  </si>
  <si>
    <t>4Q 2022</t>
  </si>
  <si>
    <t>Cashflow</t>
  </si>
  <si>
    <t xml:space="preserve">Growth </t>
  </si>
  <si>
    <t>Sales</t>
  </si>
  <si>
    <t xml:space="preserve">Cost ratio </t>
  </si>
  <si>
    <t>Cash costs</t>
  </si>
  <si>
    <t xml:space="preserve">Operating </t>
  </si>
  <si>
    <t xml:space="preserve">Investment 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</si>
  <si>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</si>
  <si>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</si>
  <si>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</si>
  <si>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</si>
  <si>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</si>
  <si>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</si>
  <si>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</si>
  <si>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>Change</t>
  </si>
  <si>
    <t>End</t>
  </si>
  <si>
    <t xml:space="preserve">Profit </t>
  </si>
  <si>
    <t>Non cash costs</t>
  </si>
  <si>
    <t>Balance sheet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</si>
  <si>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</si>
  <si>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</si>
  <si>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</si>
  <si>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</si>
  <si>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</si>
  <si>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</si>
  <si>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</si>
  <si>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</si>
  <si>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</si>
  <si>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</si>
  <si>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</si>
  <si>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</si>
  <si>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</si>
  <si>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</si>
  <si>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</si>
  <si>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</si>
  <si>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</si>
  <si>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</si>
  <si>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</si>
  <si>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Gain</t>
  </si>
  <si>
    <t xml:space="preserve">Sales growth </t>
  </si>
  <si>
    <t xml:space="preserve">Receipts </t>
  </si>
  <si>
    <t>Free cashflow</t>
  </si>
  <si>
    <t>Cash</t>
  </si>
  <si>
    <t>Assets</t>
  </si>
  <si>
    <t>Other assets</t>
  </si>
  <si>
    <t xml:space="preserve">Check </t>
  </si>
  <si>
    <t>Share price</t>
  </si>
  <si>
    <t>DILD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</si>
</sst>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372852</xdr:colOff>
      <xdr:row>0</xdr:row>
      <xdr:rowOff>283425</xdr:rowOff>
    </xdr:from>
    <xdr:to>
      <xdr:col>11</xdr:col>
      <xdr:colOff>1134225</xdr:colOff>
      <xdr:row>47</xdr:row>
      <xdr:rowOff>195106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60652" y="283424"/>
          <a:ext cx="8228974" cy="119811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0546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AVERAGE('Sales'!H21:H24)</f>
        <v>0.027721633353054</v>
      </c>
      <c r="C3" s="8"/>
      <c r="D3" s="8"/>
      <c r="E3" s="9">
        <f>AVERAGE(B4:E4)</f>
        <v>0.0775</v>
      </c>
    </row>
    <row r="4" ht="20.05" customHeight="1">
      <c r="A4" t="s" s="10">
        <v>4</v>
      </c>
      <c r="B4" s="11">
        <v>0.03</v>
      </c>
      <c r="C4" s="12">
        <v>0.2</v>
      </c>
      <c r="D4" s="12">
        <v>0.15</v>
      </c>
      <c r="E4" s="12">
        <v>-0.07000000000000001</v>
      </c>
    </row>
    <row r="5" ht="20.05" customHeight="1">
      <c r="A5" t="s" s="10">
        <v>5</v>
      </c>
      <c r="B5" s="13">
        <f>'Sales'!C24*(1+B4)</f>
        <v>579.375</v>
      </c>
      <c r="C5" s="14">
        <f>B5*(1+C4)</f>
        <v>695.25</v>
      </c>
      <c r="D5" s="14">
        <f>C5*(1+D4)</f>
        <v>799.5375</v>
      </c>
      <c r="E5" s="14">
        <f>D5*(1+E4)</f>
        <v>743.569875</v>
      </c>
    </row>
    <row r="6" ht="20.05" customHeight="1">
      <c r="A6" t="s" s="10">
        <v>6</v>
      </c>
      <c r="B6" s="15">
        <f>AVERAGE('Sales'!I19)</f>
        <v>-0.941283292978208</v>
      </c>
      <c r="C6" s="16">
        <f>B6</f>
        <v>-0.941283292978208</v>
      </c>
      <c r="D6" s="16">
        <f>C6</f>
        <v>-0.941283292978208</v>
      </c>
      <c r="E6" s="16">
        <f>D6</f>
        <v>-0.941283292978208</v>
      </c>
    </row>
    <row r="7" ht="20.05" customHeight="1">
      <c r="A7" t="s" s="10">
        <v>7</v>
      </c>
      <c r="B7" s="13">
        <f>B5*B6</f>
        <v>-545.356007869249</v>
      </c>
      <c r="C7" s="14">
        <f>C5*C6</f>
        <v>-654.4272094430989</v>
      </c>
      <c r="D7" s="14">
        <f>D5*D6</f>
        <v>-752.591290859564</v>
      </c>
      <c r="E7" s="14">
        <f>E5*E6</f>
        <v>-699.909900499395</v>
      </c>
    </row>
    <row r="8" ht="20.05" customHeight="1">
      <c r="A8" t="s" s="10">
        <v>8</v>
      </c>
      <c r="B8" s="13">
        <f>B5+B7</f>
        <v>34.018992130751</v>
      </c>
      <c r="C8" s="14">
        <f>C5+C7</f>
        <v>40.822790556901</v>
      </c>
      <c r="D8" s="14">
        <f>D5+D7</f>
        <v>46.946209140436</v>
      </c>
      <c r="E8" s="14">
        <f>E5+E7</f>
        <v>43.659974500605</v>
      </c>
    </row>
    <row r="9" ht="20.05" customHeight="1">
      <c r="A9" t="s" s="10">
        <v>9</v>
      </c>
      <c r="B9" s="13">
        <f>AVERAGE('Cashflow '!E4)</f>
        <v>-2</v>
      </c>
      <c r="C9" s="14">
        <f>B9</f>
        <v>-2</v>
      </c>
      <c r="D9" s="14">
        <f>C9</f>
        <v>-2</v>
      </c>
      <c r="E9" s="14">
        <f>D9</f>
        <v>-2</v>
      </c>
    </row>
    <row r="10" ht="20.05" customHeight="1">
      <c r="A10" t="s" s="10">
        <v>10</v>
      </c>
      <c r="B10" s="13">
        <f>B11+B14+B12</f>
        <v>-32.018992130751</v>
      </c>
      <c r="C10" s="14">
        <f>C11+C14+C12</f>
        <v>-38.822790556901</v>
      </c>
      <c r="D10" s="14">
        <f>D11+D14+D12</f>
        <v>-44.946209140436</v>
      </c>
      <c r="E10" s="14">
        <f>E11+E14+E12</f>
        <v>-41.659974500605</v>
      </c>
    </row>
    <row r="11" ht="20.05" customHeight="1">
      <c r="A11" t="s" s="10">
        <v>11</v>
      </c>
      <c r="B11" s="13">
        <f>-'Balance sheet '!G24/20</f>
        <v>-532.7</v>
      </c>
      <c r="C11" s="14">
        <f>-B26/20</f>
        <v>-506.065</v>
      </c>
      <c r="D11" s="14">
        <f>-C26/20</f>
        <v>-480.76175</v>
      </c>
      <c r="E11" s="14">
        <f>-D26/20</f>
        <v>-456.7236625</v>
      </c>
    </row>
    <row r="12" ht="20.05" customHeight="1">
      <c r="A12" t="s" s="10">
        <v>12</v>
      </c>
      <c r="B12" s="13">
        <f>-MIN(0,B15)</f>
        <v>500.681007869249</v>
      </c>
      <c r="C12" s="14">
        <f>-MIN(B27,C15)</f>
        <v>467.242209443099</v>
      </c>
      <c r="D12" s="14">
        <f>-MIN(C27,D15)</f>
        <v>435.815540859564</v>
      </c>
      <c r="E12" s="14">
        <f>-MIN(D27,E15)</f>
        <v>415.063687999395</v>
      </c>
    </row>
    <row r="13" ht="20.05" customHeight="1">
      <c r="A13" t="s" s="10">
        <v>13</v>
      </c>
      <c r="B13" s="17">
        <v>0</v>
      </c>
      <c r="C13" s="18"/>
      <c r="D13" s="18"/>
      <c r="E13" s="18"/>
    </row>
    <row r="14" ht="20.05" customHeight="1">
      <c r="A14" t="s" s="10">
        <v>14</v>
      </c>
      <c r="B14" s="19">
        <f>IF(B21&gt;0,-B21*$B$13,0)</f>
        <v>0</v>
      </c>
      <c r="C14" s="20">
        <f>IF(C21&gt;0,-C21*$B$13,0)</f>
        <v>0</v>
      </c>
      <c r="D14" s="20">
        <f>IF(D21&gt;0,-D21*$B$13,0)</f>
        <v>0</v>
      </c>
      <c r="E14" s="20">
        <f>IF(E21&gt;0,-E21*$B$13,0)</f>
        <v>0</v>
      </c>
    </row>
    <row r="15" ht="20.05" customHeight="1">
      <c r="A15" t="s" s="10">
        <v>15</v>
      </c>
      <c r="B15" s="13">
        <f>B8+B9+B11+B14</f>
        <v>-500.681007869249</v>
      </c>
      <c r="C15" s="14">
        <f>C8+C9+C11+C14</f>
        <v>-467.242209443099</v>
      </c>
      <c r="D15" s="14">
        <f>D8+D9+D11+D14</f>
        <v>-435.815540859564</v>
      </c>
      <c r="E15" s="14">
        <f>E8+E9+E11+E14</f>
        <v>-415.063687999395</v>
      </c>
    </row>
    <row r="16" ht="20.05" customHeight="1">
      <c r="A16" t="s" s="10">
        <v>16</v>
      </c>
      <c r="B16" s="13">
        <f>'Balance sheet '!C24</f>
        <v>1450</v>
      </c>
      <c r="C16" s="14">
        <f>B18</f>
        <v>1450</v>
      </c>
      <c r="D16" s="14">
        <f>C18</f>
        <v>1450</v>
      </c>
      <c r="E16" s="14">
        <f>D18</f>
        <v>1450</v>
      </c>
    </row>
    <row r="17" ht="20.05" customHeight="1">
      <c r="A17" t="s" s="10">
        <v>17</v>
      </c>
      <c r="B17" s="13">
        <f>B8+B9+B10</f>
        <v>0</v>
      </c>
      <c r="C17" s="14">
        <f>C8+C9+C10</f>
        <v>0</v>
      </c>
      <c r="D17" s="14">
        <f>D8+D9+D10</f>
        <v>0</v>
      </c>
      <c r="E17" s="14">
        <f>E8+E9+E10</f>
        <v>0</v>
      </c>
    </row>
    <row r="18" ht="20.05" customHeight="1">
      <c r="A18" t="s" s="10">
        <v>18</v>
      </c>
      <c r="B18" s="13">
        <f>B16+B17</f>
        <v>1450</v>
      </c>
      <c r="C18" s="14">
        <f>C16+C17</f>
        <v>1450</v>
      </c>
      <c r="D18" s="14">
        <f>D16+D17</f>
        <v>1450</v>
      </c>
      <c r="E18" s="14">
        <f>E16+E17</f>
        <v>1450</v>
      </c>
    </row>
    <row r="19" ht="20.05" customHeight="1">
      <c r="A19" t="s" s="21">
        <v>19</v>
      </c>
      <c r="B19" s="22"/>
      <c r="C19" s="18"/>
      <c r="D19" s="18"/>
      <c r="E19" s="18"/>
    </row>
    <row r="20" ht="20.05" customHeight="1">
      <c r="A20" t="s" s="10">
        <v>20</v>
      </c>
      <c r="B20" s="13">
        <f>-'Sales'!E24</f>
        <v>-28.2</v>
      </c>
      <c r="C20" s="14">
        <f>B20</f>
        <v>-28.2</v>
      </c>
      <c r="D20" s="14">
        <f>C20</f>
        <v>-28.2</v>
      </c>
      <c r="E20" s="14">
        <f>D20</f>
        <v>-28.2</v>
      </c>
    </row>
    <row r="21" ht="20.05" customHeight="1">
      <c r="A21" t="s" s="10">
        <v>19</v>
      </c>
      <c r="B21" s="13">
        <f>B5+B7+B20</f>
        <v>5.818992130751</v>
      </c>
      <c r="C21" s="14">
        <f>C5+C7+C20</f>
        <v>12.622790556901</v>
      </c>
      <c r="D21" s="14">
        <f>D5+D7+D20</f>
        <v>18.746209140436</v>
      </c>
      <c r="E21" s="14">
        <f>E5+E7+E20</f>
        <v>15.459974500605</v>
      </c>
    </row>
    <row r="22" ht="20.05" customHeight="1">
      <c r="A22" t="s" s="21">
        <v>21</v>
      </c>
      <c r="B22" s="22"/>
      <c r="C22" s="18"/>
      <c r="D22" s="18"/>
      <c r="E22" s="18"/>
    </row>
    <row r="23" ht="20.05" customHeight="1">
      <c r="A23" t="s" s="10">
        <v>22</v>
      </c>
      <c r="B23" s="13">
        <f>'Balance sheet '!E24+'Balance sheet '!F24-B9</f>
        <v>16171</v>
      </c>
      <c r="C23" s="14">
        <f>B23-C9</f>
        <v>16173</v>
      </c>
      <c r="D23" s="14">
        <f>C23-D9</f>
        <v>16175</v>
      </c>
      <c r="E23" s="14">
        <f>D23-E9</f>
        <v>16177</v>
      </c>
    </row>
    <row r="24" ht="20.05" customHeight="1">
      <c r="A24" t="s" s="10">
        <v>23</v>
      </c>
      <c r="B24" s="13">
        <f>'Balance sheet '!F24-B20</f>
        <v>1067.2</v>
      </c>
      <c r="C24" s="14">
        <f>B24-C20</f>
        <v>1095.4</v>
      </c>
      <c r="D24" s="14">
        <f>C24-D20</f>
        <v>1123.6</v>
      </c>
      <c r="E24" s="14">
        <f>D24-E20</f>
        <v>1151.8</v>
      </c>
    </row>
    <row r="25" ht="20.05" customHeight="1">
      <c r="A25" t="s" s="10">
        <v>24</v>
      </c>
      <c r="B25" s="13">
        <f>B23-B24</f>
        <v>15103.8</v>
      </c>
      <c r="C25" s="14">
        <f>C23-C24</f>
        <v>15077.6</v>
      </c>
      <c r="D25" s="14">
        <f>D23-D24</f>
        <v>15051.4</v>
      </c>
      <c r="E25" s="14">
        <f>E23-E24</f>
        <v>15025.2</v>
      </c>
    </row>
    <row r="26" ht="20.05" customHeight="1">
      <c r="A26" t="s" s="10">
        <v>11</v>
      </c>
      <c r="B26" s="13">
        <f>'Balance sheet '!G24+B11</f>
        <v>10121.3</v>
      </c>
      <c r="C26" s="14">
        <f>B26+C11</f>
        <v>9615.235000000001</v>
      </c>
      <c r="D26" s="14">
        <f>C26+D11</f>
        <v>9134.473249999999</v>
      </c>
      <c r="E26" s="14">
        <f>D26+E11</f>
        <v>8677.7495875</v>
      </c>
    </row>
    <row r="27" ht="20.05" customHeight="1">
      <c r="A27" t="s" s="10">
        <v>12</v>
      </c>
      <c r="B27" s="13">
        <f>B12</f>
        <v>500.681007869249</v>
      </c>
      <c r="C27" s="14">
        <f>B27+C12</f>
        <v>967.923217312348</v>
      </c>
      <c r="D27" s="14">
        <f>C27+D12</f>
        <v>1403.738758171910</v>
      </c>
      <c r="E27" s="14">
        <f>D27+E12</f>
        <v>1818.802446171310</v>
      </c>
    </row>
    <row r="28" ht="20.05" customHeight="1">
      <c r="A28" t="s" s="10">
        <v>14</v>
      </c>
      <c r="B28" s="13">
        <f>'Balance sheet '!H24+B21+B14</f>
        <v>5931.818992130750</v>
      </c>
      <c r="C28" s="14">
        <f>B28+C21+C14</f>
        <v>5944.441782687650</v>
      </c>
      <c r="D28" s="14">
        <f>C28+D21+D14</f>
        <v>5963.187991828090</v>
      </c>
      <c r="E28" s="14">
        <f>D28+E21+E14</f>
        <v>5978.6479663287</v>
      </c>
    </row>
    <row r="29" ht="20.05" customHeight="1">
      <c r="A29" t="s" s="10">
        <v>25</v>
      </c>
      <c r="B29" s="13">
        <f>B26+B27+B28-B18-B25</f>
        <v>-1e-12</v>
      </c>
      <c r="C29" s="14">
        <f>C26+C27+C28-C18-C25</f>
        <v>-2e-12</v>
      </c>
      <c r="D29" s="14">
        <f>D26+D27+D28-D18-D25</f>
        <v>0</v>
      </c>
      <c r="E29" s="14">
        <f>E26+E27+E28-E18-E25</f>
        <v>9.999999999999999e-12</v>
      </c>
    </row>
    <row r="30" ht="20.05" customHeight="1">
      <c r="A30" t="s" s="10">
        <v>26</v>
      </c>
      <c r="B30" s="13">
        <f>B18-B26-B27</f>
        <v>-9171.981007869250</v>
      </c>
      <c r="C30" s="14">
        <f>C18-C26-C27</f>
        <v>-9133.158217312350</v>
      </c>
      <c r="D30" s="14">
        <f>D18-D26-D27</f>
        <v>-9088.212008171909</v>
      </c>
      <c r="E30" s="14">
        <f>E18-E26-E27</f>
        <v>-9046.552033671311</v>
      </c>
    </row>
    <row r="31" ht="20.05" customHeight="1">
      <c r="A31" t="s" s="21">
        <v>27</v>
      </c>
      <c r="B31" s="22"/>
      <c r="C31" s="18"/>
      <c r="D31" s="18"/>
      <c r="E31" s="18"/>
    </row>
    <row r="32" ht="20.05" customHeight="1">
      <c r="A32" t="s" s="10">
        <v>28</v>
      </c>
      <c r="B32" s="13">
        <f>'Cashflow '!K24-B10</f>
        <v>-1290.151007869250</v>
      </c>
      <c r="C32" s="14">
        <f>B32-C10</f>
        <v>-1251.328217312350</v>
      </c>
      <c r="D32" s="14">
        <f>C32-D10</f>
        <v>-1206.382008171910</v>
      </c>
      <c r="E32" s="14">
        <f>D32-E10</f>
        <v>-1164.722033671310</v>
      </c>
    </row>
    <row r="33" ht="20.05" customHeight="1">
      <c r="A33" t="s" s="10">
        <v>29</v>
      </c>
      <c r="B33" s="22"/>
      <c r="C33" s="18"/>
      <c r="D33" s="18"/>
      <c r="E33" s="14">
        <v>1534153166848</v>
      </c>
    </row>
    <row r="34" ht="20.05" customHeight="1">
      <c r="A34" t="s" s="10">
        <v>29</v>
      </c>
      <c r="B34" s="22"/>
      <c r="C34" s="18"/>
      <c r="D34" s="18"/>
      <c r="E34" s="14">
        <f>E33/1000000000</f>
        <v>1534.153166848</v>
      </c>
    </row>
    <row r="35" ht="20.05" customHeight="1">
      <c r="A35" t="s" s="10">
        <v>30</v>
      </c>
      <c r="B35" s="22"/>
      <c r="C35" s="18"/>
      <c r="D35" s="18"/>
      <c r="E35" s="23">
        <f>E34/(E18+E25)</f>
        <v>0.0931189403981742</v>
      </c>
    </row>
    <row r="36" ht="20.05" customHeight="1">
      <c r="A36" t="s" s="10">
        <v>31</v>
      </c>
      <c r="B36" s="22"/>
      <c r="C36" s="18"/>
      <c r="D36" s="18"/>
      <c r="E36" s="16">
        <f>-(B14+C14+D14+E14)/E34</f>
        <v>0</v>
      </c>
    </row>
    <row r="37" ht="20.05" customHeight="1">
      <c r="A37" t="s" s="10">
        <v>3</v>
      </c>
      <c r="B37" s="22"/>
      <c r="C37" s="18"/>
      <c r="D37" s="18"/>
      <c r="E37" s="14">
        <f>SUM(B8:E9)</f>
        <v>157.447966328693</v>
      </c>
    </row>
    <row r="38" ht="20.05" customHeight="1">
      <c r="A38" t="s" s="10">
        <v>32</v>
      </c>
      <c r="B38" s="22"/>
      <c r="C38" s="18"/>
      <c r="D38" s="18"/>
      <c r="E38" s="14">
        <f>'Balance sheet '!E24/E37</f>
        <v>96.0952392894943</v>
      </c>
    </row>
    <row r="39" ht="20.05" customHeight="1">
      <c r="A39" t="s" s="10">
        <v>27</v>
      </c>
      <c r="B39" s="22"/>
      <c r="C39" s="18"/>
      <c r="D39" s="18"/>
      <c r="E39" s="14">
        <f>E34/E37</f>
        <v>9.74387413582248</v>
      </c>
    </row>
    <row r="40" ht="20.05" customHeight="1">
      <c r="A40" t="s" s="10">
        <v>33</v>
      </c>
      <c r="B40" s="22"/>
      <c r="C40" s="18"/>
      <c r="D40" s="18"/>
      <c r="E40" s="20">
        <v>11</v>
      </c>
    </row>
    <row r="41" ht="20.05" customHeight="1">
      <c r="A41" t="s" s="10">
        <v>34</v>
      </c>
      <c r="B41" s="22"/>
      <c r="C41" s="18"/>
      <c r="D41" s="18"/>
      <c r="E41" s="14">
        <f>E37*E40</f>
        <v>1731.927629615620</v>
      </c>
    </row>
    <row r="42" ht="20.05" customHeight="1">
      <c r="A42" t="s" s="10">
        <v>35</v>
      </c>
      <c r="B42" s="22"/>
      <c r="C42" s="18"/>
      <c r="D42" s="18"/>
      <c r="E42" s="24">
        <f>E34/E44</f>
        <v>10.365899776</v>
      </c>
    </row>
    <row r="43" ht="20.05" customHeight="1">
      <c r="A43" t="s" s="10">
        <v>36</v>
      </c>
      <c r="B43" s="22"/>
      <c r="C43" s="18"/>
      <c r="D43" s="18"/>
      <c r="E43" s="24">
        <f>E41/E42</f>
        <v>167.079333877559</v>
      </c>
    </row>
    <row r="44" ht="20.05" customHeight="1">
      <c r="A44" t="s" s="10">
        <v>37</v>
      </c>
      <c r="B44" s="22"/>
      <c r="C44" s="18"/>
      <c r="D44" s="18"/>
      <c r="E44" s="20">
        <v>148</v>
      </c>
    </row>
    <row r="45" ht="20.05" customHeight="1">
      <c r="A45" t="s" s="10">
        <v>38</v>
      </c>
      <c r="B45" s="22"/>
      <c r="C45" s="18"/>
      <c r="D45" s="18"/>
      <c r="E45" s="12">
        <f>E43/E44-1</f>
        <v>0.128914418091615</v>
      </c>
    </row>
    <row r="46" ht="20.05" customHeight="1">
      <c r="A46" t="s" s="10">
        <v>39</v>
      </c>
      <c r="B46" s="22"/>
      <c r="C46" s="18"/>
      <c r="D46" s="18"/>
      <c r="E46" s="16">
        <f>'Sales'!C24/'Sales'!C20-1</f>
        <v>0.0208711433756806</v>
      </c>
    </row>
    <row r="47" ht="20.05" customHeight="1">
      <c r="A47" t="s" s="10">
        <v>40</v>
      </c>
      <c r="B47" s="22"/>
      <c r="C47" s="18"/>
      <c r="D47" s="18"/>
      <c r="E47" s="16">
        <f>'Sales'!F27/'Sales'!E27-1</f>
        <v>0.09278436422862769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7812" style="25" customWidth="1"/>
    <col min="2" max="11" width="9.83594" style="25" customWidth="1"/>
    <col min="12" max="16384" width="16.3516" style="25" customWidth="1"/>
  </cols>
  <sheetData>
    <row r="1" ht="14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33</v>
      </c>
      <c r="E3" t="s" s="5">
        <v>23</v>
      </c>
      <c r="F3" t="s" s="5">
        <v>41</v>
      </c>
      <c r="G3" t="s" s="5">
        <v>19</v>
      </c>
      <c r="H3" t="s" s="5">
        <v>42</v>
      </c>
      <c r="I3" t="s" s="5">
        <v>6</v>
      </c>
      <c r="J3" t="s" s="5">
        <v>6</v>
      </c>
      <c r="K3" t="s" s="5">
        <v>33</v>
      </c>
    </row>
    <row r="4" ht="20.25" customHeight="1">
      <c r="B4" s="26">
        <v>2017</v>
      </c>
      <c r="C4" s="27">
        <v>399</v>
      </c>
      <c r="D4" s="28"/>
      <c r="E4" s="28">
        <v>8.25</v>
      </c>
      <c r="F4" s="28"/>
      <c r="G4" s="28">
        <v>39</v>
      </c>
      <c r="H4" s="29"/>
      <c r="I4" s="29">
        <f>(E4+G4-C4)/C4</f>
        <v>-0.881578947368421</v>
      </c>
      <c r="J4" s="29"/>
      <c r="K4" s="29"/>
    </row>
    <row r="5" ht="20.05" customHeight="1">
      <c r="B5" s="30"/>
      <c r="C5" s="13">
        <v>941</v>
      </c>
      <c r="D5" s="14"/>
      <c r="E5" s="14">
        <v>8.25</v>
      </c>
      <c r="F5" s="14"/>
      <c r="G5" s="14">
        <v>194</v>
      </c>
      <c r="H5" s="16">
        <f>C5/C4-1</f>
        <v>1.35839598997494</v>
      </c>
      <c r="I5" s="16">
        <f>(E5+G5-C5)/C5</f>
        <v>-0.7850690754516469</v>
      </c>
      <c r="J5" s="16"/>
      <c r="K5" s="16"/>
    </row>
    <row r="6" ht="20.05" customHeight="1">
      <c r="B6" s="30"/>
      <c r="C6" s="13">
        <v>387</v>
      </c>
      <c r="D6" s="14"/>
      <c r="E6" s="14">
        <v>8.25</v>
      </c>
      <c r="F6" s="14"/>
      <c r="G6" s="14">
        <v>-8</v>
      </c>
      <c r="H6" s="16">
        <f>C6/C5-1</f>
        <v>-0.5887353878852279</v>
      </c>
      <c r="I6" s="16">
        <f>(E6+G6-C6)/C6</f>
        <v>-0.999354005167959</v>
      </c>
      <c r="J6" s="16"/>
      <c r="K6" s="16"/>
    </row>
    <row r="7" ht="20.05" customHeight="1">
      <c r="B7" s="30"/>
      <c r="C7" s="13">
        <v>476</v>
      </c>
      <c r="D7" s="14"/>
      <c r="E7" s="14">
        <v>8.25</v>
      </c>
      <c r="F7" s="14"/>
      <c r="G7" s="14">
        <v>47</v>
      </c>
      <c r="H7" s="16">
        <f>C7/C6-1</f>
        <v>0.229974160206718</v>
      </c>
      <c r="I7" s="16">
        <f>(E7+G7-C7)/C7</f>
        <v>-0.883928571428571</v>
      </c>
      <c r="J7" s="16"/>
      <c r="K7" s="16"/>
    </row>
    <row r="8" ht="20.05" customHeight="1">
      <c r="B8" s="31">
        <v>2018</v>
      </c>
      <c r="C8" s="13">
        <v>709</v>
      </c>
      <c r="D8" s="14"/>
      <c r="E8" s="14">
        <v>9</v>
      </c>
      <c r="F8" s="14"/>
      <c r="G8" s="14">
        <v>114</v>
      </c>
      <c r="H8" s="16">
        <f>C8/C7-1</f>
        <v>0.489495798319328</v>
      </c>
      <c r="I8" s="16">
        <f>(E8+G8-C8)/C8</f>
        <v>-0.826516220028209</v>
      </c>
      <c r="J8" s="16">
        <f>AVERAGE(I5:I8)</f>
        <v>-0.873716968019097</v>
      </c>
      <c r="K8" s="16"/>
    </row>
    <row r="9" ht="20.05" customHeight="1">
      <c r="B9" s="30"/>
      <c r="C9" s="13">
        <v>1098</v>
      </c>
      <c r="D9" s="14"/>
      <c r="E9" s="14">
        <v>9</v>
      </c>
      <c r="F9" s="14"/>
      <c r="G9" s="14">
        <v>19</v>
      </c>
      <c r="H9" s="16">
        <f>C9/C8-1</f>
        <v>0.5486600846262339</v>
      </c>
      <c r="I9" s="16">
        <f>(E9+G9-C9)/C9</f>
        <v>-0.974499089253188</v>
      </c>
      <c r="J9" s="16">
        <f>AVERAGE(I6:I9)</f>
        <v>-0.921074471469482</v>
      </c>
      <c r="K9" s="16"/>
    </row>
    <row r="10" ht="20.05" customHeight="1">
      <c r="B10" s="30"/>
      <c r="C10" s="13">
        <v>612</v>
      </c>
      <c r="D10" s="14"/>
      <c r="E10" s="14">
        <v>9</v>
      </c>
      <c r="F10" s="14"/>
      <c r="G10" s="14">
        <v>-17</v>
      </c>
      <c r="H10" s="16">
        <f>C10/C9-1</f>
        <v>-0.442622950819672</v>
      </c>
      <c r="I10" s="16">
        <f>(E10+G10-C10)/C10</f>
        <v>-1.01307189542484</v>
      </c>
      <c r="J10" s="16">
        <f>AVERAGE(I7:I10)</f>
        <v>-0.924503944033702</v>
      </c>
      <c r="K10" s="16"/>
    </row>
    <row r="11" ht="20.05" customHeight="1">
      <c r="B11" s="30"/>
      <c r="C11" s="13">
        <v>134</v>
      </c>
      <c r="D11" s="14"/>
      <c r="E11" s="14">
        <v>9</v>
      </c>
      <c r="F11" s="14"/>
      <c r="G11" s="14">
        <v>78</v>
      </c>
      <c r="H11" s="16">
        <f>C11/C10-1</f>
        <v>-0.781045751633987</v>
      </c>
      <c r="I11" s="16">
        <f>(E11+G11-C11)/C11</f>
        <v>-0.350746268656716</v>
      </c>
      <c r="J11" s="16">
        <f>AVERAGE(I8:I11)</f>
        <v>-0.791208368340738</v>
      </c>
      <c r="K11" s="16"/>
    </row>
    <row r="12" ht="20.05" customHeight="1">
      <c r="B12" s="31">
        <v>2019</v>
      </c>
      <c r="C12" s="13">
        <v>888</v>
      </c>
      <c r="D12" s="14"/>
      <c r="E12" s="14">
        <v>9</v>
      </c>
      <c r="F12" s="14"/>
      <c r="G12" s="14">
        <v>102</v>
      </c>
      <c r="H12" s="16">
        <f>C12/C11-1</f>
        <v>5.62686567164179</v>
      </c>
      <c r="I12" s="16">
        <f>(E12+G12-C12)/C12</f>
        <v>-0.875</v>
      </c>
      <c r="J12" s="16">
        <f>AVERAGE(I9:I12)</f>
        <v>-0.803329313333686</v>
      </c>
      <c r="K12" s="16"/>
    </row>
    <row r="13" ht="20.05" customHeight="1">
      <c r="B13" s="30"/>
      <c r="C13" s="13">
        <v>458</v>
      </c>
      <c r="D13" s="14"/>
      <c r="E13" s="14">
        <v>9</v>
      </c>
      <c r="F13" s="14"/>
      <c r="G13" s="14">
        <v>-26</v>
      </c>
      <c r="H13" s="16">
        <f>C13/C12-1</f>
        <v>-0.484234234234234</v>
      </c>
      <c r="I13" s="16">
        <f>(E13+G13-C13)/C13</f>
        <v>-1.03711790393013</v>
      </c>
      <c r="J13" s="16">
        <f>AVERAGE(I10:I13)</f>
        <v>-0.818984017002922</v>
      </c>
      <c r="K13" s="16"/>
    </row>
    <row r="14" ht="20.05" customHeight="1">
      <c r="B14" s="30"/>
      <c r="C14" s="13">
        <v>508</v>
      </c>
      <c r="D14" s="14"/>
      <c r="E14" s="14">
        <v>9</v>
      </c>
      <c r="F14" s="14"/>
      <c r="G14" s="14">
        <v>7</v>
      </c>
      <c r="H14" s="16">
        <f>C14/C13-1</f>
        <v>0.109170305676856</v>
      </c>
      <c r="I14" s="16">
        <f>(E14+G14-C14)/C14</f>
        <v>-0.968503937007874</v>
      </c>
      <c r="J14" s="16">
        <f>AVERAGE(I11:I14)</f>
        <v>-0.8078420273986801</v>
      </c>
      <c r="K14" s="16"/>
    </row>
    <row r="15" ht="20.05" customHeight="1">
      <c r="B15" s="30"/>
      <c r="C15" s="13">
        <v>882</v>
      </c>
      <c r="D15" s="14"/>
      <c r="E15" s="14">
        <v>9</v>
      </c>
      <c r="F15" s="14">
        <v>495</v>
      </c>
      <c r="G15" s="14">
        <v>354</v>
      </c>
      <c r="H15" s="16">
        <f>C15/C14-1</f>
        <v>0.736220472440945</v>
      </c>
      <c r="I15" s="16">
        <f>(E15+G15-F15-C15)/C15</f>
        <v>-1.14965986394558</v>
      </c>
      <c r="J15" s="16">
        <f>AVERAGE(I12:I15)</f>
        <v>-1.0075704262209</v>
      </c>
      <c r="K15" s="16"/>
    </row>
    <row r="16" ht="20.05" customHeight="1">
      <c r="B16" s="31">
        <v>2020</v>
      </c>
      <c r="C16" s="13">
        <v>831</v>
      </c>
      <c r="D16" s="14"/>
      <c r="E16" s="14">
        <v>8.5</v>
      </c>
      <c r="F16" s="14"/>
      <c r="G16" s="14">
        <v>82</v>
      </c>
      <c r="H16" s="16">
        <f>C16/C15-1</f>
        <v>-0.0578231292517007</v>
      </c>
      <c r="I16" s="16">
        <f>(E16+G16-C16)/C16</f>
        <v>-0.891095066185319</v>
      </c>
      <c r="J16" s="16">
        <f>AVERAGE(I13:I16)</f>
        <v>-1.01159419276723</v>
      </c>
      <c r="K16" s="16"/>
    </row>
    <row r="17" ht="20.05" customHeight="1">
      <c r="B17" s="30"/>
      <c r="C17" s="13">
        <v>679</v>
      </c>
      <c r="D17" s="14"/>
      <c r="E17" s="14">
        <v>8.5</v>
      </c>
      <c r="F17" s="14"/>
      <c r="G17" s="14">
        <v>0</v>
      </c>
      <c r="H17" s="16">
        <f>C17/C16-1</f>
        <v>-0.182912154031288</v>
      </c>
      <c r="I17" s="16">
        <f>(E17+G17-C17)/C17</f>
        <v>-0.987481590574374</v>
      </c>
      <c r="J17" s="16">
        <f>AVERAGE(I14:I17)</f>
        <v>-0.9991851144282869</v>
      </c>
      <c r="K17" s="16"/>
    </row>
    <row r="18" ht="20.05" customHeight="1">
      <c r="B18" s="30"/>
      <c r="C18" s="13">
        <v>555</v>
      </c>
      <c r="D18" s="14"/>
      <c r="E18" s="14">
        <v>8.5</v>
      </c>
      <c r="F18" s="14"/>
      <c r="G18" s="14">
        <v>-53</v>
      </c>
      <c r="H18" s="16">
        <f>C18/C17-1</f>
        <v>-0.182621502209131</v>
      </c>
      <c r="I18" s="16">
        <f>(E18+G18-C18)/C18</f>
        <v>-1.08018018018018</v>
      </c>
      <c r="J18" s="16">
        <f>AVERAGE(I15:I18)</f>
        <v>-1.02710417522136</v>
      </c>
      <c r="K18" s="16"/>
    </row>
    <row r="19" ht="20.05" customHeight="1">
      <c r="B19" s="30"/>
      <c r="C19" s="13">
        <v>826</v>
      </c>
      <c r="D19" s="14"/>
      <c r="E19" s="14">
        <v>8.5</v>
      </c>
      <c r="F19" s="14"/>
      <c r="G19" s="14">
        <v>40</v>
      </c>
      <c r="H19" s="16">
        <f>C19/C18-1</f>
        <v>0.488288288288288</v>
      </c>
      <c r="I19" s="16">
        <f>(E19+G19-C19)/C19</f>
        <v>-0.941283292978208</v>
      </c>
      <c r="J19" s="16">
        <f>AVERAGE(I16:I19)</f>
        <v>-0.97501003247952</v>
      </c>
      <c r="K19" s="16"/>
    </row>
    <row r="20" ht="20.05" customHeight="1">
      <c r="B20" s="31">
        <v>2021</v>
      </c>
      <c r="C20" s="13">
        <v>551</v>
      </c>
      <c r="D20" s="14"/>
      <c r="E20" s="14">
        <v>29.3</v>
      </c>
      <c r="F20" s="14"/>
      <c r="G20" s="14">
        <v>0.7</v>
      </c>
      <c r="H20" s="16">
        <f>C20/C19-1</f>
        <v>-0.332929782082324</v>
      </c>
      <c r="I20" s="16">
        <f>(E20+G20-C20)/C20</f>
        <v>-0.945553539019964</v>
      </c>
      <c r="J20" s="16">
        <f>AVERAGE(I17:I20)</f>
        <v>-0.9886246506881819</v>
      </c>
      <c r="K20" s="16"/>
    </row>
    <row r="21" ht="20.05" customHeight="1">
      <c r="B21" s="30"/>
      <c r="C21" s="13">
        <f>1119-C20</f>
        <v>568</v>
      </c>
      <c r="D21" s="14">
        <v>771.4</v>
      </c>
      <c r="E21" s="14">
        <f>59.2-E20</f>
        <v>29.9</v>
      </c>
      <c r="F21" s="14"/>
      <c r="G21" s="14">
        <f>-37-G20</f>
        <v>-37.7</v>
      </c>
      <c r="H21" s="16">
        <f>C21/C20-1</f>
        <v>0.0308529945553539</v>
      </c>
      <c r="I21" s="16">
        <f>(E21+G21-C21)/C21</f>
        <v>-1.0137323943662</v>
      </c>
      <c r="J21" s="16">
        <f>AVERAGE(I18:I21)</f>
        <v>-0.995187351636138</v>
      </c>
      <c r="K21" s="16"/>
    </row>
    <row r="22" ht="20.05" customHeight="1">
      <c r="B22" s="30"/>
      <c r="C22" s="13">
        <f>1828-SUM(C20:C21)</f>
        <v>709</v>
      </c>
      <c r="D22" s="14">
        <v>596.4</v>
      </c>
      <c r="E22" s="14">
        <f>89.1-SUM(E20:E21)</f>
        <v>29.9</v>
      </c>
      <c r="F22" s="14"/>
      <c r="G22" s="14">
        <f>-108.7-SUM(G20:G21)</f>
        <v>-71.7</v>
      </c>
      <c r="H22" s="16">
        <f>C22/C21-1</f>
        <v>0.248239436619718</v>
      </c>
      <c r="I22" s="16">
        <f>(E22+G22-C22)/C22</f>
        <v>-1.0589562764457</v>
      </c>
      <c r="J22" s="16">
        <f>AVERAGE(I19:I22)</f>
        <v>-0.989881375702518</v>
      </c>
      <c r="K22" s="16"/>
    </row>
    <row r="23" ht="20.05" customHeight="1">
      <c r="B23" s="30"/>
      <c r="C23" s="13">
        <f>2628.6-SUM(C20:C22)</f>
        <v>800.6</v>
      </c>
      <c r="D23" s="14">
        <v>758.63</v>
      </c>
      <c r="E23" s="14">
        <f>117.9-SUM(E20:E22)</f>
        <v>28.8</v>
      </c>
      <c r="F23" s="14"/>
      <c r="G23" s="14">
        <v>-30</v>
      </c>
      <c r="H23" s="16">
        <f>C23/C22-1</f>
        <v>0.12919605077574</v>
      </c>
      <c r="I23" s="16">
        <f>(E23+G23-C23)/C23</f>
        <v>-1.00149887584312</v>
      </c>
      <c r="J23" s="16">
        <f>AVERAGE(I20:I23)</f>
        <v>-1.00493527141875</v>
      </c>
      <c r="K23" s="16"/>
    </row>
    <row r="24" ht="20.05" customHeight="1">
      <c r="B24" s="31">
        <v>2022</v>
      </c>
      <c r="C24" s="13">
        <v>562.5</v>
      </c>
      <c r="D24" s="14">
        <v>758.63</v>
      </c>
      <c r="E24" s="14">
        <v>28.2</v>
      </c>
      <c r="F24" s="14"/>
      <c r="G24" s="14">
        <v>-99.7</v>
      </c>
      <c r="H24" s="16">
        <f>C24/C23-1</f>
        <v>-0.297401948538596</v>
      </c>
      <c r="I24" s="16">
        <f>(E24+G24-C24)/C24</f>
        <v>-1.12711111111111</v>
      </c>
      <c r="J24" s="16">
        <f>AVERAGE(I21:I24)</f>
        <v>-1.05032466444153</v>
      </c>
      <c r="K24" s="16">
        <v>-0.896346737552544</v>
      </c>
    </row>
    <row r="25" ht="20.05" customHeight="1">
      <c r="B25" s="30"/>
      <c r="C25" s="13"/>
      <c r="D25" s="14">
        <f>'Model'!B5</f>
        <v>579.375</v>
      </c>
      <c r="E25" s="14"/>
      <c r="F25" s="14"/>
      <c r="G25" s="14"/>
      <c r="H25" s="16"/>
      <c r="I25" s="18"/>
      <c r="J25" s="16"/>
      <c r="K25" s="16">
        <f>'Model'!B6</f>
        <v>-0.941283292978208</v>
      </c>
    </row>
    <row r="26" ht="20.05" customHeight="1">
      <c r="B26" s="30"/>
      <c r="C26" s="13"/>
      <c r="D26" s="14">
        <f>'Model'!C5</f>
        <v>695.25</v>
      </c>
      <c r="E26" s="14"/>
      <c r="F26" s="14"/>
      <c r="G26" s="14"/>
      <c r="H26" s="16"/>
      <c r="I26" s="16"/>
      <c r="J26" s="16"/>
      <c r="K26" s="16"/>
    </row>
    <row r="27" ht="20.05" customHeight="1">
      <c r="B27" s="30"/>
      <c r="C27" s="13"/>
      <c r="D27" s="14">
        <f>'Model'!D5</f>
        <v>799.5375</v>
      </c>
      <c r="E27" s="14">
        <f>SUM(C21:C24)</f>
        <v>2640.1</v>
      </c>
      <c r="F27" s="14">
        <f>SUM(D21:D24)</f>
        <v>2885.06</v>
      </c>
      <c r="G27" s="14"/>
      <c r="H27" s="16"/>
      <c r="I27" s="16"/>
      <c r="J27" s="16"/>
      <c r="K27" s="16"/>
    </row>
    <row r="28" ht="20.05" customHeight="1">
      <c r="B28" s="31">
        <v>2023</v>
      </c>
      <c r="C28" s="13"/>
      <c r="D28" s="14">
        <f>'Model'!E5</f>
        <v>743.569875</v>
      </c>
      <c r="E28" s="14"/>
      <c r="F28" s="14"/>
      <c r="G28" s="14"/>
      <c r="H28" s="16"/>
      <c r="I28" s="16"/>
      <c r="J28" s="16"/>
      <c r="K28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2656" style="32" customWidth="1"/>
    <col min="2" max="13" width="9.26562" style="32" customWidth="1"/>
    <col min="14" max="16384" width="16.3516" style="32" customWidth="1"/>
  </cols>
  <sheetData>
    <row r="1" ht="12.0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43</v>
      </c>
      <c r="D3" t="s" s="5">
        <v>8</v>
      </c>
      <c r="E3" t="s" s="5">
        <v>9</v>
      </c>
      <c r="F3" t="s" s="5">
        <v>11</v>
      </c>
      <c r="G3" t="s" s="5">
        <v>14</v>
      </c>
      <c r="H3" t="s" s="5">
        <v>44</v>
      </c>
      <c r="I3" t="s" s="5">
        <v>3</v>
      </c>
      <c r="J3" t="s" s="5">
        <v>33</v>
      </c>
      <c r="K3" t="s" s="5">
        <v>28</v>
      </c>
      <c r="L3" t="s" s="5">
        <v>33</v>
      </c>
      <c r="M3" s="33"/>
    </row>
    <row r="4" ht="20.25" customHeight="1">
      <c r="B4" s="26">
        <v>2017</v>
      </c>
      <c r="C4" s="27">
        <v>486</v>
      </c>
      <c r="D4" s="28">
        <v>-86</v>
      </c>
      <c r="E4" s="28">
        <v>-2</v>
      </c>
      <c r="F4" s="28">
        <v>254</v>
      </c>
      <c r="G4" s="28"/>
      <c r="H4" s="28">
        <f>E4+D4</f>
        <v>-88</v>
      </c>
      <c r="I4" s="28"/>
      <c r="J4" s="28"/>
      <c r="K4" s="28">
        <f>-F4</f>
        <v>-254</v>
      </c>
      <c r="L4" s="28"/>
      <c r="M4" s="28">
        <v>1</v>
      </c>
    </row>
    <row r="5" ht="20.05" customHeight="1">
      <c r="B5" s="30"/>
      <c r="C5" s="13">
        <v>779</v>
      </c>
      <c r="D5" s="14">
        <v>-176</v>
      </c>
      <c r="E5" s="14">
        <v>-6</v>
      </c>
      <c r="F5" s="14">
        <v>180</v>
      </c>
      <c r="G5" s="14"/>
      <c r="H5" s="14">
        <f>E5+D5</f>
        <v>-182</v>
      </c>
      <c r="I5" s="14"/>
      <c r="J5" s="14"/>
      <c r="K5" s="14">
        <f>-F5+K4</f>
        <v>-434</v>
      </c>
      <c r="L5" s="14"/>
      <c r="M5" s="14">
        <f>1+M4</f>
        <v>2</v>
      </c>
    </row>
    <row r="6" ht="20.05" customHeight="1">
      <c r="B6" s="30"/>
      <c r="C6" s="13">
        <v>639</v>
      </c>
      <c r="D6" s="14">
        <v>75</v>
      </c>
      <c r="E6" s="14">
        <v>-7</v>
      </c>
      <c r="F6" s="14">
        <v>6</v>
      </c>
      <c r="G6" s="14"/>
      <c r="H6" s="14">
        <f>E6+D6</f>
        <v>68</v>
      </c>
      <c r="I6" s="14"/>
      <c r="J6" s="14"/>
      <c r="K6" s="14">
        <f>-F6+K5</f>
        <v>-440</v>
      </c>
      <c r="L6" s="14"/>
      <c r="M6" s="14">
        <f>1+M5</f>
        <v>3</v>
      </c>
    </row>
    <row r="7" ht="20.05" customHeight="1">
      <c r="B7" s="30"/>
      <c r="C7" s="13">
        <v>523</v>
      </c>
      <c r="D7" s="14">
        <v>-349</v>
      </c>
      <c r="E7" s="14">
        <v>-32</v>
      </c>
      <c r="F7" s="14">
        <v>419</v>
      </c>
      <c r="G7" s="14"/>
      <c r="H7" s="14">
        <f>E7+D7</f>
        <v>-381</v>
      </c>
      <c r="I7" s="14">
        <f>AVERAGE(H4:H7)</f>
        <v>-145.75</v>
      </c>
      <c r="J7" s="14"/>
      <c r="K7" s="14">
        <f>-F7+K6</f>
        <v>-859</v>
      </c>
      <c r="L7" s="14"/>
      <c r="M7" s="14">
        <f>1+M6</f>
        <v>4</v>
      </c>
    </row>
    <row r="8" ht="20.05" customHeight="1">
      <c r="B8" s="31">
        <v>2018</v>
      </c>
      <c r="C8" s="13">
        <v>605</v>
      </c>
      <c r="D8" s="14">
        <v>-0.5</v>
      </c>
      <c r="E8" s="14">
        <v>-6</v>
      </c>
      <c r="F8" s="14">
        <v>135</v>
      </c>
      <c r="G8" s="14"/>
      <c r="H8" s="14">
        <f>E8+D8</f>
        <v>-6.5</v>
      </c>
      <c r="I8" s="14">
        <f>AVERAGE(H5:H8)</f>
        <v>-125.375</v>
      </c>
      <c r="J8" s="14"/>
      <c r="K8" s="14">
        <f>-F8+K7</f>
        <v>-994</v>
      </c>
      <c r="L8" s="14"/>
      <c r="M8" s="14">
        <f>1+M7</f>
        <v>5</v>
      </c>
    </row>
    <row r="9" ht="20.05" customHeight="1">
      <c r="B9" s="30"/>
      <c r="C9" s="13">
        <v>1250</v>
      </c>
      <c r="D9" s="14">
        <v>-129.5</v>
      </c>
      <c r="E9" s="14">
        <v>-40</v>
      </c>
      <c r="F9" s="14">
        <v>267</v>
      </c>
      <c r="G9" s="14"/>
      <c r="H9" s="14">
        <f>E9+D9</f>
        <v>-169.5</v>
      </c>
      <c r="I9" s="14">
        <f>AVERAGE(H6:H9)</f>
        <v>-122.25</v>
      </c>
      <c r="J9" s="14"/>
      <c r="K9" s="14">
        <f>-F9+K8</f>
        <v>-1261</v>
      </c>
      <c r="L9" s="14"/>
      <c r="M9" s="14">
        <f>1+M8</f>
        <v>6</v>
      </c>
    </row>
    <row r="10" ht="20.05" customHeight="1">
      <c r="B10" s="30"/>
      <c r="C10" s="13">
        <v>601</v>
      </c>
      <c r="D10" s="14">
        <v>25</v>
      </c>
      <c r="E10" s="14">
        <v>-52</v>
      </c>
      <c r="F10" s="14">
        <v>66</v>
      </c>
      <c r="G10" s="14"/>
      <c r="H10" s="14">
        <f>E10+D10</f>
        <v>-27</v>
      </c>
      <c r="I10" s="14">
        <f>AVERAGE(H7:H10)</f>
        <v>-146</v>
      </c>
      <c r="J10" s="14"/>
      <c r="K10" s="14">
        <f>-F10+K9</f>
        <v>-1327</v>
      </c>
      <c r="L10" s="14"/>
      <c r="M10" s="14">
        <f>1+M9</f>
        <v>7</v>
      </c>
    </row>
    <row r="11" ht="20.05" customHeight="1">
      <c r="B11" s="30"/>
      <c r="C11" s="13">
        <v>80</v>
      </c>
      <c r="D11" s="14">
        <v>77</v>
      </c>
      <c r="E11" s="14">
        <v>-63</v>
      </c>
      <c r="F11" s="14">
        <v>95</v>
      </c>
      <c r="G11" s="14"/>
      <c r="H11" s="14">
        <f>E11+D11</f>
        <v>14</v>
      </c>
      <c r="I11" s="14">
        <f>AVERAGE(H8:H11)</f>
        <v>-47.25</v>
      </c>
      <c r="J11" s="14"/>
      <c r="K11" s="14">
        <f>-F11+K10</f>
        <v>-1422</v>
      </c>
      <c r="L11" s="14"/>
      <c r="M11" s="14">
        <f>1+M10</f>
        <v>8</v>
      </c>
    </row>
    <row r="12" ht="20.05" customHeight="1">
      <c r="B12" s="31">
        <v>2019</v>
      </c>
      <c r="C12" s="13">
        <v>512</v>
      </c>
      <c r="D12" s="14">
        <v>-118</v>
      </c>
      <c r="E12" s="14">
        <v>5</v>
      </c>
      <c r="F12" s="14">
        <v>88</v>
      </c>
      <c r="G12" s="14"/>
      <c r="H12" s="14">
        <f>E12+D12</f>
        <v>-113</v>
      </c>
      <c r="I12" s="14">
        <f>AVERAGE(H9:H12)</f>
        <v>-73.875</v>
      </c>
      <c r="J12" s="14"/>
      <c r="K12" s="14">
        <f>-F12+K11</f>
        <v>-1510</v>
      </c>
      <c r="L12" s="14"/>
      <c r="M12" s="14">
        <f>1+M11</f>
        <v>9</v>
      </c>
    </row>
    <row r="13" ht="20.05" customHeight="1">
      <c r="B13" s="30"/>
      <c r="C13" s="13">
        <v>506</v>
      </c>
      <c r="D13" s="14">
        <v>-360</v>
      </c>
      <c r="E13" s="14">
        <v>243</v>
      </c>
      <c r="F13" s="14">
        <v>309</v>
      </c>
      <c r="G13" s="14"/>
      <c r="H13" s="14">
        <f>E13+D13</f>
        <v>-117</v>
      </c>
      <c r="I13" s="14">
        <f>AVERAGE(H10:H13)</f>
        <v>-60.75</v>
      </c>
      <c r="J13" s="14"/>
      <c r="K13" s="14">
        <f>-F13+K12</f>
        <v>-1819</v>
      </c>
      <c r="L13" s="14"/>
      <c r="M13" s="14">
        <f>1+M12</f>
        <v>10</v>
      </c>
    </row>
    <row r="14" ht="20.05" customHeight="1">
      <c r="B14" s="30"/>
      <c r="C14" s="13">
        <v>550</v>
      </c>
      <c r="D14" s="14">
        <v>-77</v>
      </c>
      <c r="E14" s="14">
        <v>4</v>
      </c>
      <c r="F14" s="14">
        <v>70</v>
      </c>
      <c r="G14" s="14"/>
      <c r="H14" s="14">
        <f>E14+D14</f>
        <v>-73</v>
      </c>
      <c r="I14" s="14">
        <f>AVERAGE(H11:H14)</f>
        <v>-72.25</v>
      </c>
      <c r="J14" s="14"/>
      <c r="K14" s="14">
        <f>-F14+K13</f>
        <v>-1889</v>
      </c>
      <c r="L14" s="14"/>
      <c r="M14" s="14">
        <f>1+M13</f>
        <v>11</v>
      </c>
    </row>
    <row r="15" ht="20.05" customHeight="1">
      <c r="B15" s="30"/>
      <c r="C15" s="13">
        <v>657</v>
      </c>
      <c r="D15" s="14">
        <v>51</v>
      </c>
      <c r="E15" s="14">
        <v>470</v>
      </c>
      <c r="F15" s="14">
        <v>-394</v>
      </c>
      <c r="G15" s="14"/>
      <c r="H15" s="14">
        <f>E15+D15</f>
        <v>521</v>
      </c>
      <c r="I15" s="14">
        <f>AVERAGE(H12:H15)</f>
        <v>54.5</v>
      </c>
      <c r="J15" s="14"/>
      <c r="K15" s="14">
        <f>-F15+K14</f>
        <v>-1495</v>
      </c>
      <c r="L15" s="14"/>
      <c r="M15" s="14">
        <f>1+M14</f>
        <v>12</v>
      </c>
    </row>
    <row r="16" ht="20.05" customHeight="1">
      <c r="B16" s="31">
        <v>2020</v>
      </c>
      <c r="C16" s="13">
        <v>1215</v>
      </c>
      <c r="D16" s="14">
        <v>-16</v>
      </c>
      <c r="E16" s="14">
        <v>-3</v>
      </c>
      <c r="F16" s="14">
        <v>27</v>
      </c>
      <c r="G16" s="14"/>
      <c r="H16" s="14">
        <f>E16+D16</f>
        <v>-19</v>
      </c>
      <c r="I16" s="14">
        <f>AVERAGE(H13:H16)</f>
        <v>78</v>
      </c>
      <c r="J16" s="14"/>
      <c r="K16" s="14">
        <f>-F16+K15</f>
        <v>-1522</v>
      </c>
      <c r="L16" s="14"/>
      <c r="M16" s="14">
        <f>1+M15</f>
        <v>13</v>
      </c>
    </row>
    <row r="17" ht="20.05" customHeight="1">
      <c r="B17" s="30"/>
      <c r="C17" s="13">
        <v>427</v>
      </c>
      <c r="D17" s="14">
        <v>-107</v>
      </c>
      <c r="E17" s="14">
        <v>-4</v>
      </c>
      <c r="F17" s="14">
        <v>38</v>
      </c>
      <c r="G17" s="14"/>
      <c r="H17" s="14">
        <f>E17+D17</f>
        <v>-111</v>
      </c>
      <c r="I17" s="14">
        <f>AVERAGE(H14:H17)</f>
        <v>79.5</v>
      </c>
      <c r="J17" s="14"/>
      <c r="K17" s="14">
        <f>-F17+K16</f>
        <v>-1560</v>
      </c>
      <c r="L17" s="14"/>
      <c r="M17" s="14">
        <f>1+M16</f>
        <v>14</v>
      </c>
    </row>
    <row r="18" ht="20.05" customHeight="1">
      <c r="B18" s="30"/>
      <c r="C18" s="13">
        <v>491</v>
      </c>
      <c r="D18" s="14">
        <v>90</v>
      </c>
      <c r="E18" s="14">
        <v>-4</v>
      </c>
      <c r="F18" s="14">
        <v>-13</v>
      </c>
      <c r="G18" s="14"/>
      <c r="H18" s="14">
        <f>E18+D18</f>
        <v>86</v>
      </c>
      <c r="I18" s="14">
        <f>AVERAGE(H15:H18)</f>
        <v>119.25</v>
      </c>
      <c r="J18" s="14"/>
      <c r="K18" s="14">
        <f>-F18+K17</f>
        <v>-1547</v>
      </c>
      <c r="L18" s="14"/>
      <c r="M18" s="14">
        <f>1+M17</f>
        <v>15</v>
      </c>
    </row>
    <row r="19" ht="20.05" customHeight="1">
      <c r="B19" s="30"/>
      <c r="C19" s="13">
        <v>515</v>
      </c>
      <c r="D19" s="14">
        <v>62</v>
      </c>
      <c r="E19" s="14">
        <v>-83</v>
      </c>
      <c r="F19" s="14">
        <v>22</v>
      </c>
      <c r="G19" s="14"/>
      <c r="H19" s="14">
        <f>E19+D19</f>
        <v>-21</v>
      </c>
      <c r="I19" s="14">
        <f>AVERAGE(H16:H19)</f>
        <v>-16.25</v>
      </c>
      <c r="J19" s="14"/>
      <c r="K19" s="14">
        <f>-F19+K18</f>
        <v>-1569</v>
      </c>
      <c r="L19" s="14"/>
      <c r="M19" s="14">
        <f>1+M18</f>
        <v>16</v>
      </c>
    </row>
    <row r="20" ht="20.05" customHeight="1">
      <c r="B20" s="31">
        <v>2021</v>
      </c>
      <c r="C20" s="13">
        <v>556</v>
      </c>
      <c r="D20" s="14">
        <v>201</v>
      </c>
      <c r="E20" s="14">
        <v>9</v>
      </c>
      <c r="F20" s="14">
        <v>-86</v>
      </c>
      <c r="G20" s="14"/>
      <c r="H20" s="14">
        <f>E20+D20</f>
        <v>210</v>
      </c>
      <c r="I20" s="14">
        <f>AVERAGE(H17:H20)</f>
        <v>41</v>
      </c>
      <c r="J20" s="14"/>
      <c r="K20" s="14">
        <f>-F20+K19</f>
        <v>-1483</v>
      </c>
      <c r="L20" s="14"/>
      <c r="M20" s="14">
        <f>1+M19</f>
        <v>17</v>
      </c>
    </row>
    <row r="21" ht="20.05" customHeight="1">
      <c r="B21" s="30"/>
      <c r="C21" s="13">
        <f>1101-C20</f>
        <v>545</v>
      </c>
      <c r="D21" s="14">
        <f>361-D20</f>
        <v>160</v>
      </c>
      <c r="E21" s="14">
        <f>3.5-E20</f>
        <v>-5.5</v>
      </c>
      <c r="F21" s="14">
        <f>-248-F20</f>
        <v>-162</v>
      </c>
      <c r="G21" s="14"/>
      <c r="H21" s="14">
        <f>E21+D21</f>
        <v>154.5</v>
      </c>
      <c r="I21" s="14">
        <f>AVERAGE(H18:H21)</f>
        <v>107.375</v>
      </c>
      <c r="J21" s="14"/>
      <c r="K21" s="14">
        <f>-F21+K20</f>
        <v>-1321</v>
      </c>
      <c r="L21" s="14"/>
      <c r="M21" s="14">
        <f>1+M20</f>
        <v>18</v>
      </c>
    </row>
    <row r="22" ht="20.05" customHeight="1">
      <c r="B22" s="30"/>
      <c r="C22" s="13">
        <f>1676.5-SUM(C20:C21)</f>
        <v>575.5</v>
      </c>
      <c r="D22" s="14">
        <f>359.1-SUM(D20:D21)</f>
        <v>-1.9</v>
      </c>
      <c r="E22" s="14">
        <f>21.6-SUM(E20:E21)</f>
        <v>18.1</v>
      </c>
      <c r="F22" s="14">
        <f>-94-SUM(F20:F21)</f>
        <v>154</v>
      </c>
      <c r="G22" s="14"/>
      <c r="H22" s="14">
        <f>E22+D22</f>
        <v>16.2</v>
      </c>
      <c r="I22" s="14">
        <f>AVERAGE(H19:H22)</f>
        <v>89.925</v>
      </c>
      <c r="J22" s="14"/>
      <c r="K22" s="14">
        <f>-F22+K21</f>
        <v>-1475</v>
      </c>
      <c r="L22" s="14"/>
      <c r="M22" s="14">
        <f>1+M21</f>
        <v>19</v>
      </c>
    </row>
    <row r="23" ht="20.05" customHeight="1">
      <c r="B23" s="30"/>
      <c r="C23" s="13">
        <f>2777.3-SUM(C20:C22)</f>
        <v>1100.8</v>
      </c>
      <c r="D23" s="14">
        <f>779-SUM(D20:D22)</f>
        <v>419.9</v>
      </c>
      <c r="E23" s="14">
        <f>26.6-SUM(E20:E22)</f>
        <v>5</v>
      </c>
      <c r="F23" s="14">
        <f>250-7.3-11.9-111.8-143.6-162-SUM(F20:F22)</f>
        <v>-92.59999999999999</v>
      </c>
      <c r="G23" s="14">
        <v>-1.4</v>
      </c>
      <c r="H23" s="14">
        <f>E23+D23</f>
        <v>424.9</v>
      </c>
      <c r="I23" s="14">
        <f>AVERAGE(H20:H23)</f>
        <v>201.4</v>
      </c>
      <c r="J23" s="14"/>
      <c r="K23" s="14">
        <f>-F23+K22</f>
        <v>-1382.4</v>
      </c>
      <c r="L23" s="14"/>
      <c r="M23" s="14">
        <f>1+M22</f>
        <v>20</v>
      </c>
    </row>
    <row r="24" ht="20.05" customHeight="1">
      <c r="B24" s="31">
        <v>2022</v>
      </c>
      <c r="C24" s="13">
        <v>614.3</v>
      </c>
      <c r="D24" s="14">
        <v>-236.8</v>
      </c>
      <c r="E24" s="14">
        <v>3.7</v>
      </c>
      <c r="F24" s="14">
        <f>-70.3-G24-(0.03)</f>
        <v>-60.23</v>
      </c>
      <c r="G24" s="14">
        <f>-9.9-0.2</f>
        <v>-10.1</v>
      </c>
      <c r="H24" s="14">
        <f>E24+D24</f>
        <v>-233.1</v>
      </c>
      <c r="I24" s="14">
        <f>AVERAGE(H21:H24)</f>
        <v>90.625</v>
      </c>
      <c r="J24" s="14">
        <v>84.77891544828999</v>
      </c>
      <c r="K24" s="14">
        <f>-F24+K23</f>
        <v>-1322.17</v>
      </c>
      <c r="L24" s="14">
        <v>-1159.009950809760</v>
      </c>
      <c r="M24" s="14">
        <f>1+M23</f>
        <v>21</v>
      </c>
    </row>
    <row r="25" ht="20.05" customHeight="1">
      <c r="B25" s="30"/>
      <c r="C25" s="13"/>
      <c r="D25" s="14"/>
      <c r="E25" s="14"/>
      <c r="F25" s="14"/>
      <c r="G25" s="14"/>
      <c r="H25" s="14"/>
      <c r="I25" s="18"/>
      <c r="J25" s="14">
        <f>SUM('Model'!E8:E9)</f>
        <v>41.659974500605</v>
      </c>
      <c r="K25" s="18"/>
      <c r="L25" s="14">
        <f>'Model'!E32</f>
        <v>-1164.722033671310</v>
      </c>
      <c r="M25" s="14"/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9844" style="34" customWidth="1"/>
    <col min="2" max="11" width="9.66406" style="34" customWidth="1"/>
    <col min="12" max="16384" width="16.3516" style="34" customWidth="1"/>
  </cols>
  <sheetData>
    <row r="1" ht="10.0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45</v>
      </c>
      <c r="D3" t="s" s="5">
        <v>46</v>
      </c>
      <c r="E3" t="s" s="5">
        <v>47</v>
      </c>
      <c r="F3" t="s" s="5">
        <v>23</v>
      </c>
      <c r="G3" t="s" s="5">
        <v>11</v>
      </c>
      <c r="H3" t="s" s="5">
        <v>14</v>
      </c>
      <c r="I3" t="s" s="5">
        <v>48</v>
      </c>
      <c r="J3" t="s" s="5">
        <v>26</v>
      </c>
      <c r="K3" t="s" s="5">
        <v>33</v>
      </c>
    </row>
    <row r="4" ht="20.25" customHeight="1">
      <c r="B4" s="26">
        <v>2017</v>
      </c>
      <c r="C4" s="27">
        <v>640</v>
      </c>
      <c r="D4" s="28">
        <v>12177</v>
      </c>
      <c r="E4" s="28">
        <f>D4-C4</f>
        <v>11537</v>
      </c>
      <c r="F4" s="28"/>
      <c r="G4" s="28">
        <v>6350</v>
      </c>
      <c r="H4" s="28">
        <v>5826</v>
      </c>
      <c r="I4" s="28">
        <f>G4+H4-C4-E4</f>
        <v>-1</v>
      </c>
      <c r="J4" s="28">
        <f>C4-G4</f>
        <v>-5710</v>
      </c>
      <c r="K4" s="28"/>
    </row>
    <row r="5" ht="20.05" customHeight="1">
      <c r="B5" s="30"/>
      <c r="C5" s="13">
        <v>638</v>
      </c>
      <c r="D5" s="14">
        <v>12553</v>
      </c>
      <c r="E5" s="14">
        <f>D5-C5</f>
        <v>11915</v>
      </c>
      <c r="F5" s="14"/>
      <c r="G5" s="14">
        <v>6609</v>
      </c>
      <c r="H5" s="14">
        <v>5945</v>
      </c>
      <c r="I5" s="14">
        <f>G5+H5-C5-E5</f>
        <v>1</v>
      </c>
      <c r="J5" s="14">
        <f>C5-G5</f>
        <v>-5971</v>
      </c>
      <c r="K5" s="14"/>
    </row>
    <row r="6" ht="20.05" customHeight="1">
      <c r="B6" s="30"/>
      <c r="C6" s="13">
        <v>711</v>
      </c>
      <c r="D6" s="14">
        <v>12645</v>
      </c>
      <c r="E6" s="14">
        <f>D6-C6</f>
        <v>11934</v>
      </c>
      <c r="F6" s="14"/>
      <c r="G6" s="14">
        <v>6659</v>
      </c>
      <c r="H6" s="14">
        <v>5986</v>
      </c>
      <c r="I6" s="14">
        <f>G6+H6-C6-E6</f>
        <v>0</v>
      </c>
      <c r="J6" s="14">
        <f>C6-G6</f>
        <v>-5948</v>
      </c>
      <c r="K6" s="14"/>
    </row>
    <row r="7" ht="20.05" customHeight="1">
      <c r="B7" s="30"/>
      <c r="C7" s="13">
        <v>750</v>
      </c>
      <c r="D7" s="14">
        <v>13097</v>
      </c>
      <c r="E7" s="14">
        <f>D7-C7</f>
        <v>12347</v>
      </c>
      <c r="F7" s="14"/>
      <c r="G7" s="14">
        <v>6787</v>
      </c>
      <c r="H7" s="14">
        <v>6311</v>
      </c>
      <c r="I7" s="14">
        <f>G7+H7-C7-E7</f>
        <v>1</v>
      </c>
      <c r="J7" s="14">
        <f>C7-G7</f>
        <v>-6037</v>
      </c>
      <c r="K7" s="14"/>
    </row>
    <row r="8" ht="20.05" customHeight="1">
      <c r="B8" s="31">
        <v>2018</v>
      </c>
      <c r="C8" s="13">
        <v>878</v>
      </c>
      <c r="D8" s="14">
        <v>13430</v>
      </c>
      <c r="E8" s="14">
        <f>D8-C8</f>
        <v>12552</v>
      </c>
      <c r="F8" s="14"/>
      <c r="G8" s="14">
        <v>7004</v>
      </c>
      <c r="H8" s="14">
        <v>6426</v>
      </c>
      <c r="I8" s="14">
        <f>G8+H8-C8-E8</f>
        <v>0</v>
      </c>
      <c r="J8" s="14">
        <f>C8-G8</f>
        <v>-6126</v>
      </c>
      <c r="K8" s="14"/>
    </row>
    <row r="9" ht="20.05" customHeight="1">
      <c r="B9" s="30"/>
      <c r="C9" s="13">
        <v>976</v>
      </c>
      <c r="D9" s="14">
        <v>13809</v>
      </c>
      <c r="E9" s="14">
        <f>D9-C9</f>
        <v>12833</v>
      </c>
      <c r="F9" s="14"/>
      <c r="G9" s="14">
        <v>7363</v>
      </c>
      <c r="H9" s="14">
        <v>6446</v>
      </c>
      <c r="I9" s="14">
        <f>G9+H9-C9-E9</f>
        <v>0</v>
      </c>
      <c r="J9" s="14">
        <f>C9-G9</f>
        <v>-6387</v>
      </c>
      <c r="K9" s="14"/>
    </row>
    <row r="10" ht="20.05" customHeight="1">
      <c r="B10" s="30"/>
      <c r="C10" s="13">
        <v>1016</v>
      </c>
      <c r="D10" s="14">
        <v>13868</v>
      </c>
      <c r="E10" s="14">
        <f>D10-C10</f>
        <v>12852</v>
      </c>
      <c r="F10" s="14"/>
      <c r="G10" s="14">
        <v>7435</v>
      </c>
      <c r="H10" s="14">
        <v>6433</v>
      </c>
      <c r="I10" s="14">
        <f>G10+H10-C10-E10</f>
        <v>0</v>
      </c>
      <c r="J10" s="14">
        <f>C10-G10</f>
        <v>-6419</v>
      </c>
      <c r="K10" s="14"/>
    </row>
    <row r="11" ht="20.05" customHeight="1">
      <c r="B11" s="30"/>
      <c r="C11" s="13">
        <v>1124</v>
      </c>
      <c r="D11" s="14">
        <v>14216</v>
      </c>
      <c r="E11" s="14">
        <f>D11-C11</f>
        <v>13092</v>
      </c>
      <c r="F11" s="14"/>
      <c r="G11" s="14">
        <v>7700</v>
      </c>
      <c r="H11" s="14">
        <v>6516</v>
      </c>
      <c r="I11" s="14">
        <f>G11+H11-C11-E11</f>
        <v>0</v>
      </c>
      <c r="J11" s="14">
        <f>C11-G11</f>
        <v>-6576</v>
      </c>
      <c r="K11" s="14"/>
    </row>
    <row r="12" ht="20.05" customHeight="1">
      <c r="B12" s="31">
        <v>2019</v>
      </c>
      <c r="C12" s="13">
        <v>1098</v>
      </c>
      <c r="D12" s="14">
        <v>14116</v>
      </c>
      <c r="E12" s="14">
        <f>D12-C12</f>
        <v>13018</v>
      </c>
      <c r="F12" s="14"/>
      <c r="G12" s="14">
        <v>7495</v>
      </c>
      <c r="H12" s="14">
        <v>6622</v>
      </c>
      <c r="I12" s="14">
        <f>G12+H12-C12-E12</f>
        <v>1</v>
      </c>
      <c r="J12" s="14">
        <f>C12-G12</f>
        <v>-6397</v>
      </c>
      <c r="K12" s="14"/>
    </row>
    <row r="13" ht="20.05" customHeight="1">
      <c r="B13" s="30"/>
      <c r="C13" s="13">
        <v>1290</v>
      </c>
      <c r="D13" s="14">
        <v>14577</v>
      </c>
      <c r="E13" s="14">
        <f>D13-C13</f>
        <v>13287</v>
      </c>
      <c r="F13" s="14"/>
      <c r="G13" s="14">
        <v>7548</v>
      </c>
      <c r="H13" s="14">
        <v>7029</v>
      </c>
      <c r="I13" s="14">
        <f>G13+H13-C13-E13</f>
        <v>0</v>
      </c>
      <c r="J13" s="14">
        <f>C13-G13</f>
        <v>-6258</v>
      </c>
      <c r="K13" s="14"/>
    </row>
    <row r="14" ht="20.05" customHeight="1">
      <c r="B14" s="30"/>
      <c r="C14" s="13">
        <v>1289</v>
      </c>
      <c r="D14" s="14">
        <v>14684</v>
      </c>
      <c r="E14" s="14">
        <f>D14-C14</f>
        <v>13395</v>
      </c>
      <c r="F14" s="14"/>
      <c r="G14" s="14">
        <v>7646</v>
      </c>
      <c r="H14" s="14">
        <v>7037</v>
      </c>
      <c r="I14" s="14">
        <f>G14+H14-C14-E14</f>
        <v>-1</v>
      </c>
      <c r="J14" s="14">
        <f>C14-G14</f>
        <v>-6357</v>
      </c>
      <c r="K14" s="14"/>
    </row>
    <row r="15" ht="20.05" customHeight="1">
      <c r="B15" s="30"/>
      <c r="C15" s="13">
        <v>1416</v>
      </c>
      <c r="D15" s="14">
        <v>14778</v>
      </c>
      <c r="E15" s="14">
        <f>D15-C15</f>
        <v>13362</v>
      </c>
      <c r="F15" s="14"/>
      <c r="G15" s="14">
        <v>7543</v>
      </c>
      <c r="H15" s="14">
        <v>7235</v>
      </c>
      <c r="I15" s="14">
        <f>G15+H15-C15-E15</f>
        <v>0</v>
      </c>
      <c r="J15" s="14">
        <f>C15-G15</f>
        <v>-6127</v>
      </c>
      <c r="K15" s="14"/>
    </row>
    <row r="16" ht="20.05" customHeight="1">
      <c r="B16" s="31">
        <v>2020</v>
      </c>
      <c r="C16" s="13">
        <v>1425</v>
      </c>
      <c r="D16" s="14">
        <v>15928</v>
      </c>
      <c r="E16" s="14">
        <f>D16-C16</f>
        <v>14503</v>
      </c>
      <c r="F16" s="14"/>
      <c r="G16" s="14">
        <v>9902</v>
      </c>
      <c r="H16" s="14">
        <v>6026</v>
      </c>
      <c r="I16" s="14">
        <f>G16+H16-C16-E16</f>
        <v>0</v>
      </c>
      <c r="J16" s="14">
        <f>C16-G16</f>
        <v>-8477</v>
      </c>
      <c r="K16" s="14"/>
    </row>
    <row r="17" ht="20.05" customHeight="1">
      <c r="B17" s="30"/>
      <c r="C17" s="13">
        <v>1351</v>
      </c>
      <c r="D17" s="14">
        <v>15917</v>
      </c>
      <c r="E17" s="14">
        <f>D17-C17</f>
        <v>14566</v>
      </c>
      <c r="F17" s="14"/>
      <c r="G17" s="14">
        <v>9891</v>
      </c>
      <c r="H17" s="14">
        <v>6026</v>
      </c>
      <c r="I17" s="14">
        <f>G17+H17-C17-E17</f>
        <v>0</v>
      </c>
      <c r="J17" s="14">
        <f>C17-G17</f>
        <v>-8540</v>
      </c>
      <c r="K17" s="14"/>
    </row>
    <row r="18" ht="20.05" customHeight="1">
      <c r="B18" s="30"/>
      <c r="C18" s="13">
        <v>1424</v>
      </c>
      <c r="D18" s="14">
        <v>15870</v>
      </c>
      <c r="E18" s="14">
        <f>D18-C18</f>
        <v>14446</v>
      </c>
      <c r="F18" s="14"/>
      <c r="G18" s="14">
        <v>9896</v>
      </c>
      <c r="H18" s="14">
        <v>5973</v>
      </c>
      <c r="I18" s="14">
        <f>G18+H18-C18-E18</f>
        <v>-1</v>
      </c>
      <c r="J18" s="14">
        <f>C18-G18</f>
        <v>-8472</v>
      </c>
      <c r="K18" s="14"/>
    </row>
    <row r="19" ht="20.05" customHeight="1">
      <c r="B19" s="30"/>
      <c r="C19" s="13">
        <v>1425</v>
      </c>
      <c r="D19" s="14">
        <v>15702</v>
      </c>
      <c r="E19" s="14">
        <f>D19-C19</f>
        <v>14277</v>
      </c>
      <c r="F19" s="14">
        <f>573+324</f>
        <v>897</v>
      </c>
      <c r="G19" s="14">
        <v>9653</v>
      </c>
      <c r="H19" s="14">
        <v>6049</v>
      </c>
      <c r="I19" s="14">
        <f>G19+H19-C19-E19</f>
        <v>0</v>
      </c>
      <c r="J19" s="14">
        <f>C19-G19</f>
        <v>-8228</v>
      </c>
      <c r="K19" s="14"/>
    </row>
    <row r="20" ht="20.05" customHeight="1">
      <c r="B20" s="31">
        <v>2021</v>
      </c>
      <c r="C20" s="13">
        <v>1549</v>
      </c>
      <c r="D20" s="14">
        <v>15968</v>
      </c>
      <c r="E20" s="14">
        <f>D20-C20</f>
        <v>14419</v>
      </c>
      <c r="F20" s="14">
        <f>594+331</f>
        <v>925</v>
      </c>
      <c r="G20" s="14">
        <v>9917</v>
      </c>
      <c r="H20" s="14">
        <v>6051</v>
      </c>
      <c r="I20" s="14">
        <f>G20+H20-C20-E20</f>
        <v>0</v>
      </c>
      <c r="J20" s="14">
        <f>C20-G20</f>
        <v>-8368</v>
      </c>
      <c r="K20" s="14"/>
    </row>
    <row r="21" ht="20.05" customHeight="1">
      <c r="B21" s="30"/>
      <c r="C21" s="13">
        <v>1542</v>
      </c>
      <c r="D21" s="14">
        <v>16029</v>
      </c>
      <c r="E21" s="14">
        <f>D21-C21</f>
        <v>14487</v>
      </c>
      <c r="F21" s="14">
        <f>615+340</f>
        <v>955</v>
      </c>
      <c r="G21" s="14">
        <v>10015</v>
      </c>
      <c r="H21" s="14">
        <v>6014</v>
      </c>
      <c r="I21" s="14">
        <f>G21+H21-C21-E21</f>
        <v>0</v>
      </c>
      <c r="J21" s="14">
        <f>C21-G21</f>
        <v>-8473</v>
      </c>
      <c r="K21" s="14"/>
    </row>
    <row r="22" ht="20.05" customHeight="1">
      <c r="B22" s="30"/>
      <c r="C22" s="13">
        <v>1712</v>
      </c>
      <c r="D22" s="14">
        <v>16044</v>
      </c>
      <c r="E22" s="14">
        <f>D22-C22</f>
        <v>14332</v>
      </c>
      <c r="F22" s="14">
        <f>636+349</f>
        <v>985</v>
      </c>
      <c r="G22" s="14">
        <v>10100</v>
      </c>
      <c r="H22" s="14">
        <v>5944</v>
      </c>
      <c r="I22" s="14">
        <f>G22+H22-C22-E22</f>
        <v>0</v>
      </c>
      <c r="J22" s="14">
        <f>C22-G22</f>
        <v>-8388</v>
      </c>
      <c r="K22" s="14"/>
    </row>
    <row r="23" ht="20.05" customHeight="1">
      <c r="B23" s="30"/>
      <c r="C23" s="13">
        <v>1754</v>
      </c>
      <c r="D23" s="14">
        <v>16462</v>
      </c>
      <c r="E23" s="14">
        <f>D23-C23</f>
        <v>14708</v>
      </c>
      <c r="F23" s="14">
        <f>656+354</f>
        <v>1010</v>
      </c>
      <c r="G23" s="14">
        <v>10430</v>
      </c>
      <c r="H23" s="14">
        <v>6032</v>
      </c>
      <c r="I23" s="14">
        <f>G23+H23-C23-E23</f>
        <v>0</v>
      </c>
      <c r="J23" s="14">
        <f>C23-G23</f>
        <v>-8676</v>
      </c>
      <c r="K23" s="14"/>
    </row>
    <row r="24" ht="20.05" customHeight="1">
      <c r="B24" s="31">
        <v>2022</v>
      </c>
      <c r="C24" s="13">
        <v>1450</v>
      </c>
      <c r="D24" s="14">
        <v>16580</v>
      </c>
      <c r="E24" s="14">
        <f>D24-C24</f>
        <v>15130</v>
      </c>
      <c r="F24" s="14">
        <f>677+362</f>
        <v>1039</v>
      </c>
      <c r="G24" s="14">
        <v>10654</v>
      </c>
      <c r="H24" s="14">
        <v>5926</v>
      </c>
      <c r="I24" s="14">
        <f>G24+H24-C24-E24</f>
        <v>0</v>
      </c>
      <c r="J24" s="14">
        <f>C24-G24</f>
        <v>-9204</v>
      </c>
      <c r="K24" s="14">
        <v>-8092.368955728780</v>
      </c>
    </row>
    <row r="25" ht="20.05" customHeight="1">
      <c r="B25" s="30"/>
      <c r="C25" s="13"/>
      <c r="D25" s="14"/>
      <c r="E25" s="14"/>
      <c r="F25" s="14"/>
      <c r="G25" s="14"/>
      <c r="H25" s="14"/>
      <c r="I25" s="14"/>
      <c r="J25" s="14"/>
      <c r="K25" s="14">
        <f>'Model'!E30</f>
        <v>-9046.552033671311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0.4141" style="35" customWidth="1"/>
    <col min="4" max="16384" width="16.3516" style="35" customWidth="1"/>
  </cols>
  <sheetData>
    <row r="1" ht="27.65" customHeight="1">
      <c r="A1" t="s" s="2">
        <v>49</v>
      </c>
      <c r="B1" s="2"/>
      <c r="C1" s="2"/>
    </row>
    <row r="2" ht="20.25" customHeight="1">
      <c r="A2" s="33"/>
      <c r="B2" t="s" s="5">
        <v>50</v>
      </c>
      <c r="C2" t="s" s="5">
        <v>36</v>
      </c>
    </row>
    <row r="3" ht="20.25" customHeight="1">
      <c r="A3" s="26">
        <v>2018</v>
      </c>
      <c r="B3" s="36">
        <v>327.9375</v>
      </c>
      <c r="C3" s="8"/>
    </row>
    <row r="4" ht="20.05" customHeight="1">
      <c r="A4" s="30"/>
      <c r="B4" s="37">
        <v>367.6875</v>
      </c>
      <c r="C4" s="18"/>
    </row>
    <row r="5" ht="20.05" customHeight="1">
      <c r="A5" s="30"/>
      <c r="B5" s="37">
        <v>290.174988</v>
      </c>
      <c r="C5" s="18"/>
    </row>
    <row r="6" ht="20.05" customHeight="1">
      <c r="A6" s="30"/>
      <c r="B6" s="37">
        <v>306.074982</v>
      </c>
      <c r="C6" s="18"/>
    </row>
    <row r="7" ht="20.05" customHeight="1">
      <c r="A7" s="31">
        <v>2019</v>
      </c>
      <c r="B7" s="37">
        <v>341.850006</v>
      </c>
      <c r="C7" s="18"/>
    </row>
    <row r="8" ht="20.05" customHeight="1">
      <c r="A8" s="30"/>
      <c r="B8" s="37">
        <v>384</v>
      </c>
      <c r="C8" s="18"/>
    </row>
    <row r="9" ht="20.05" customHeight="1">
      <c r="A9" s="30"/>
      <c r="B9" s="37">
        <v>398</v>
      </c>
      <c r="C9" s="18"/>
    </row>
    <row r="10" ht="20.05" customHeight="1">
      <c r="A10" s="30"/>
      <c r="B10" s="37">
        <v>260</v>
      </c>
      <c r="C10" s="18"/>
    </row>
    <row r="11" ht="20.05" customHeight="1">
      <c r="A11" s="31">
        <v>2020</v>
      </c>
      <c r="B11" s="37">
        <v>250</v>
      </c>
      <c r="C11" s="18"/>
    </row>
    <row r="12" ht="20.05" customHeight="1">
      <c r="A12" s="30"/>
      <c r="B12" s="37">
        <v>188</v>
      </c>
      <c r="C12" s="18"/>
    </row>
    <row r="13" ht="20.05" customHeight="1">
      <c r="A13" s="30"/>
      <c r="B13" s="37">
        <v>147</v>
      </c>
      <c r="C13" s="18"/>
    </row>
    <row r="14" ht="20.05" customHeight="1">
      <c r="A14" s="30"/>
      <c r="B14" s="37">
        <v>220</v>
      </c>
      <c r="C14" s="18"/>
    </row>
    <row r="15" ht="20.05" customHeight="1">
      <c r="A15" s="31">
        <v>2021</v>
      </c>
      <c r="B15" s="37">
        <v>192</v>
      </c>
      <c r="C15" s="18"/>
    </row>
    <row r="16" ht="20.05" customHeight="1">
      <c r="A16" s="30"/>
      <c r="B16" s="37">
        <v>179</v>
      </c>
      <c r="C16" s="18"/>
    </row>
    <row r="17" ht="20.05" customHeight="1">
      <c r="A17" s="30"/>
      <c r="B17" s="37">
        <v>165</v>
      </c>
      <c r="C17" s="18"/>
    </row>
    <row r="18" ht="20.05" customHeight="1">
      <c r="A18" s="30"/>
      <c r="B18" s="37">
        <v>156</v>
      </c>
      <c r="C18" s="18"/>
    </row>
    <row r="19" ht="20.05" customHeight="1">
      <c r="A19" s="31">
        <v>2022</v>
      </c>
      <c r="B19" s="37">
        <v>145</v>
      </c>
      <c r="C19" s="20">
        <v>213.3621881654</v>
      </c>
    </row>
    <row r="20" ht="20.05" customHeight="1">
      <c r="A20" s="30"/>
      <c r="B20" s="13">
        <v>148</v>
      </c>
      <c r="C20" s="20">
        <v>213.3621881654</v>
      </c>
    </row>
    <row r="21" ht="20.05" customHeight="1">
      <c r="A21" s="30"/>
      <c r="B21" s="37"/>
      <c r="C21" s="20">
        <f>'Model'!E43</f>
        <v>167.079333877559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