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<sst xmlns="http://schemas.openxmlformats.org/spreadsheetml/2006/main" uniqueCount="90">
  <si>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</si>
  <si>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</si>
  <si>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</si>
  <si>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</si>
  <si>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</si>
  <si>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</si>
  <si>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</si>
  <si>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 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</si>
  <si>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</si>
  <si>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</si>
  <si>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</si>
  <si>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</si>
  <si>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</si>
  <si>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</si>
  <si>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</si>
  <si>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</si>
  <si>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</si>
  <si>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</si>
  <si>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</si>
  <si>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</si>
  <si>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</si>
  <si>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</si>
  <si>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</si>
  <si>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</si>
  <si>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</si>
  <si>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</si>
  <si>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</si>
  <si>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</si>
  <si>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</si>
  <si>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</si>
  <si>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</si>
  <si>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</si>
  <si>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</si>
  <si>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</si>
  <si>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</si>
  <si>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</si>
  <si>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</si>
  <si>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</si>
  <si>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</si>
  <si>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</si>
  <si>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</si>
  <si>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</si>
  <si>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</si>
  <si>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</si>
  <si>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Sales growth </t>
  </si>
  <si>
    <t xml:space="preserve">Cost ratio </t>
  </si>
  <si>
    <t>Receipts</t>
  </si>
  <si>
    <t xml:space="preserve">Operating </t>
  </si>
  <si>
    <t xml:space="preserve">Investment </t>
  </si>
  <si>
    <t xml:space="preserve">Free cashflow </t>
  </si>
  <si>
    <t>Cash</t>
  </si>
  <si>
    <t>Assets</t>
  </si>
  <si>
    <t>Check</t>
  </si>
  <si>
    <t>Share price</t>
  </si>
  <si>
    <t>CTRA</t>
  </si>
  <si>
    <t>Previous</t>
  </si>
  <si>
    <t>Capital-1</t>
  </si>
  <si>
    <t xml:space="preserve">Total </t>
  </si>
  <si>
    <t>Table 1-1</t>
  </si>
  <si>
    <t>Market value</t>
  </si>
  <si>
    <t xml:space="preserve">capital history </t>
  </si>
  <si>
    <t>of market value</t>
  </si>
  <si>
    <t xml:space="preserve">paid last 12 months 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</si>
  <si>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</si>
  <si>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</si>
  <si>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</si>
  <si>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</si>
  <si>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</si>
  <si>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</si>
  <si>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</si>
  <si>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</si>
  <si>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</si>
  <si>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</si>
  <si>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</si>
  <si>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</si>
  <si>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</si>
  <si>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</si>
  <si>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</si>
  <si>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</si>
  <si>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</si>
  <si>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</si>
  <si>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</si>
  <si>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</si>
  <si>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</si>
  <si>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>paid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</si>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</sst>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"/>
    <numFmt numFmtId="61" formatCode="#,##0;[Red]#,##0"/>
    <numFmt numFmtId="62" formatCode="[$IDR]0"/>
    <numFmt numFmtId="63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61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717"/>
          <c:y val="0.0446026"/>
          <c:w val="0.813078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'Capital'!$A$17:$A$29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'Capital'!$E$17:$E$29</c:f>
              <c:numCache>
                <c:ptCount val="13"/>
                <c:pt idx="0">
                  <c:v>113.000000</c:v>
                </c:pt>
                <c:pt idx="1">
                  <c:v>270.000000</c:v>
                </c:pt>
                <c:pt idx="2">
                  <c:v>789.000000</c:v>
                </c:pt>
                <c:pt idx="3">
                  <c:v>1417.000000</c:v>
                </c:pt>
                <c:pt idx="4">
                  <c:v>2706.000000</c:v>
                </c:pt>
                <c:pt idx="5">
                  <c:v>3973.000000</c:v>
                </c:pt>
                <c:pt idx="6">
                  <c:v>5231.000000</c:v>
                </c:pt>
                <c:pt idx="7">
                  <c:v>6616.000000</c:v>
                </c:pt>
                <c:pt idx="8">
                  <c:v>7488.000000</c:v>
                </c:pt>
                <c:pt idx="9">
                  <c:v>8228.000000</c:v>
                </c:pt>
                <c:pt idx="10">
                  <c:v>9003.000000</c:v>
                </c:pt>
                <c:pt idx="11">
                  <c:v>9772.000000</c:v>
                </c:pt>
                <c:pt idx="12">
                  <c:v>9305.900000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'Capital'!$A$17:$A$29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'Capital'!$F$17:$F$29</c:f>
              <c:numCache>
                <c:ptCount val="13"/>
                <c:pt idx="0">
                  <c:v>2436.000000</c:v>
                </c:pt>
                <c:pt idx="1">
                  <c:v>2444.000000</c:v>
                </c:pt>
                <c:pt idx="2">
                  <c:v>2326.000000</c:v>
                </c:pt>
                <c:pt idx="3">
                  <c:v>2311.000000</c:v>
                </c:pt>
                <c:pt idx="4">
                  <c:v>3063.000000</c:v>
                </c:pt>
                <c:pt idx="5">
                  <c:v>2928.000000</c:v>
                </c:pt>
                <c:pt idx="6">
                  <c:v>2914.000000</c:v>
                </c:pt>
                <c:pt idx="7">
                  <c:v>2983.000000</c:v>
                </c:pt>
                <c:pt idx="8">
                  <c:v>3162.000000</c:v>
                </c:pt>
                <c:pt idx="9">
                  <c:v>3075.000000</c:v>
                </c:pt>
                <c:pt idx="10">
                  <c:v>2904.000000</c:v>
                </c:pt>
                <c:pt idx="11">
                  <c:v>2793.000000</c:v>
                </c:pt>
                <c:pt idx="12">
                  <c:v>2580.800000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'Capital'!$A$17:$A$29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'Capital'!$G$17:$G$29</c:f>
              <c:numCache>
                <c:ptCount val="13"/>
                <c:pt idx="0">
                  <c:v>2549.000000</c:v>
                </c:pt>
                <c:pt idx="1">
                  <c:v>2714.000000</c:v>
                </c:pt>
                <c:pt idx="2">
                  <c:v>3115.000000</c:v>
                </c:pt>
                <c:pt idx="3">
                  <c:v>3728.000000</c:v>
                </c:pt>
                <c:pt idx="4">
                  <c:v>5769.000000</c:v>
                </c:pt>
                <c:pt idx="5">
                  <c:v>6901.000000</c:v>
                </c:pt>
                <c:pt idx="6">
                  <c:v>8145.000000</c:v>
                </c:pt>
                <c:pt idx="7">
                  <c:v>9599.000000</c:v>
                </c:pt>
                <c:pt idx="8">
                  <c:v>10650.000000</c:v>
                </c:pt>
                <c:pt idx="9">
                  <c:v>11303.000000</c:v>
                </c:pt>
                <c:pt idx="10">
                  <c:v>11907.000000</c:v>
                </c:pt>
                <c:pt idx="11">
                  <c:v>12565.000000</c:v>
                </c:pt>
                <c:pt idx="12">
                  <c:v>11886.700000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666.67"/>
        <c:minorUnit val="2333.33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49589"/>
          <c:y val="0.0664782"/>
          <c:w val="0.36319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524846</xdr:colOff>
      <xdr:row>0</xdr:row>
      <xdr:rowOff>334452</xdr:rowOff>
    </xdr:from>
    <xdr:to>
      <xdr:col>13</xdr:col>
      <xdr:colOff>740043</xdr:colOff>
      <xdr:row>47</xdr:row>
      <xdr:rowOff>237067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25346" y="334452"/>
          <a:ext cx="8927398" cy="119961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830411</xdr:colOff>
      <xdr:row>34</xdr:row>
      <xdr:rowOff>122791</xdr:rowOff>
    </xdr:from>
    <xdr:to>
      <xdr:col>5</xdr:col>
      <xdr:colOff>741828</xdr:colOff>
      <xdr:row>43</xdr:row>
      <xdr:rowOff>101391</xdr:rowOff>
    </xdr:to>
    <xdr:graphicFrame>
      <xdr:nvGraphicFramePr>
        <xdr:cNvPr id="4" name="2D Line Chart"/>
        <xdr:cNvGraphicFramePr/>
      </xdr:nvGraphicFramePr>
      <xdr:xfrm>
        <a:off x="1770211" y="8981676"/>
        <a:ext cx="3670618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822638</xdr:colOff>
      <xdr:row>31</xdr:row>
      <xdr:rowOff>214437</xdr:rowOff>
    </xdr:from>
    <xdr:to>
      <xdr:col>5</xdr:col>
      <xdr:colOff>749601</xdr:colOff>
      <xdr:row>34</xdr:row>
      <xdr:rowOff>245124</xdr:rowOff>
    </xdr:to>
    <xdr:sp>
      <xdr:nvSpPr>
        <xdr:cNvPr id="5" name="CTRA 12 trillion rupiah capital raised…"/>
        <xdr:cNvSpPr txBox="1"/>
      </xdr:nvSpPr>
      <xdr:spPr>
        <a:xfrm>
          <a:off x="1762438" y="8207817"/>
          <a:ext cx="3686164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CTRA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12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capital raised…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7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2.33594" style="1" customWidth="1"/>
    <col min="2" max="2" width="14.7656" style="1" customWidth="1"/>
    <col min="3" max="6" width="8.79688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t="s" s="5">
        <v>2</v>
      </c>
      <c r="F2" s="4"/>
    </row>
    <row r="3" ht="20.3" customHeight="1">
      <c r="B3" t="s" s="6">
        <v>3</v>
      </c>
      <c r="C3" s="7">
        <f>AVERAGE('Sales'!G29:G32)</f>
        <v>0.0702791012640515</v>
      </c>
      <c r="D3" s="8"/>
      <c r="E3" s="8"/>
      <c r="F3" s="9">
        <f>AVERAGE(C4:F4)</f>
        <v>0.0675</v>
      </c>
    </row>
    <row r="4" ht="20.1" customHeight="1">
      <c r="B4" t="s" s="10">
        <v>4</v>
      </c>
      <c r="C4" s="11">
        <v>0.1</v>
      </c>
      <c r="D4" s="12">
        <v>0.15</v>
      </c>
      <c r="E4" s="12">
        <v>0.25</v>
      </c>
      <c r="F4" s="12">
        <v>-0.23</v>
      </c>
    </row>
    <row r="5" ht="20.1" customHeight="1">
      <c r="B5" t="s" s="10">
        <v>5</v>
      </c>
      <c r="C5" s="13">
        <f>'Sales'!C32*(1+C4)</f>
        <v>2457.62</v>
      </c>
      <c r="D5" s="14">
        <f>C5*(1+D4)</f>
        <v>2826.263</v>
      </c>
      <c r="E5" s="14">
        <f>D5*(1+E4)</f>
        <v>3532.82875</v>
      </c>
      <c r="F5" s="14">
        <f>E5*(1+F4)</f>
        <v>2720.2781375</v>
      </c>
    </row>
    <row r="6" ht="20.1" customHeight="1">
      <c r="B6" t="s" s="10">
        <v>6</v>
      </c>
      <c r="C6" s="15">
        <f>AVERAGE('Sales'!I32)</f>
        <v>-0.75278484823926</v>
      </c>
      <c r="D6" s="16">
        <f>C6</f>
        <v>-0.75278484823926</v>
      </c>
      <c r="E6" s="16">
        <f>D6</f>
        <v>-0.75278484823926</v>
      </c>
      <c r="F6" s="16">
        <f>E6</f>
        <v>-0.75278484823926</v>
      </c>
    </row>
    <row r="7" ht="20.1" customHeight="1">
      <c r="B7" t="s" s="10">
        <v>7</v>
      </c>
      <c r="C7" s="17">
        <f>C6*C5</f>
        <v>-1850.059098729770</v>
      </c>
      <c r="D7" s="18">
        <f>D6*D5</f>
        <v>-2127.567963539240</v>
      </c>
      <c r="E7" s="18">
        <f>E6*E5</f>
        <v>-2659.459954424040</v>
      </c>
      <c r="F7" s="18">
        <f>F6*F5</f>
        <v>-2047.784164906510</v>
      </c>
    </row>
    <row r="8" ht="20.1" customHeight="1">
      <c r="B8" t="s" s="10">
        <v>8</v>
      </c>
      <c r="C8" s="17">
        <f>C5+C7</f>
        <v>607.560901270230</v>
      </c>
      <c r="D8" s="18">
        <f>D5+D7</f>
        <v>698.695036460760</v>
      </c>
      <c r="E8" s="18">
        <f>E5+E7</f>
        <v>873.368795575960</v>
      </c>
      <c r="F8" s="18">
        <f>F5+F7</f>
        <v>672.493972593490</v>
      </c>
    </row>
    <row r="9" ht="20.05" customHeight="1">
      <c r="B9" t="s" s="10">
        <v>9</v>
      </c>
      <c r="C9" s="17">
        <f>AVERAGE('Cashflow'!E32)</f>
        <v>-215.1</v>
      </c>
      <c r="D9" s="18">
        <f>C9</f>
        <v>-215.1</v>
      </c>
      <c r="E9" s="18">
        <f>D9</f>
        <v>-215.1</v>
      </c>
      <c r="F9" s="18">
        <f>E9</f>
        <v>-215.1</v>
      </c>
    </row>
    <row r="10" ht="20.1" customHeight="1">
      <c r="B10" t="s" s="10">
        <v>10</v>
      </c>
      <c r="C10" s="17">
        <f>C11+C14+C12</f>
        <v>-392.460901270230</v>
      </c>
      <c r="D10" s="18">
        <f>D11+D14+D12</f>
        <v>-483.595036460760</v>
      </c>
      <c r="E10" s="18">
        <f>E11+E14+E12</f>
        <v>-658.268795575960</v>
      </c>
      <c r="F10" s="18">
        <f>F11+F14+F12</f>
        <v>-457.393972593490</v>
      </c>
    </row>
    <row r="11" ht="20.1" customHeight="1">
      <c r="B11" t="s" s="10">
        <v>11</v>
      </c>
      <c r="C11" s="17">
        <f>-('Balance sheet'!G32)/20</f>
        <v>-1048.8</v>
      </c>
      <c r="D11" s="18">
        <f>-C26/20</f>
        <v>-996.36</v>
      </c>
      <c r="E11" s="18">
        <f>-D26/20</f>
        <v>-946.542</v>
      </c>
      <c r="F11" s="18">
        <f>-E26/20</f>
        <v>-899.2148999999999</v>
      </c>
    </row>
    <row r="12" ht="20.1" customHeight="1">
      <c r="B12" t="s" s="10">
        <v>12</v>
      </c>
      <c r="C12" s="17">
        <f>-MIN(0,C15)</f>
        <v>656.3390987297699</v>
      </c>
      <c r="D12" s="18">
        <f>-MIN(C27,D15)</f>
        <v>512.7649635392399</v>
      </c>
      <c r="E12" s="18">
        <f>-MIN(D27,E15)</f>
        <v>288.273204424040</v>
      </c>
      <c r="F12" s="18">
        <f>-MIN(E27,F15)</f>
        <v>441.820927406510</v>
      </c>
    </row>
    <row r="13" ht="20.1" customHeight="1">
      <c r="B13" t="s" s="10">
        <v>13</v>
      </c>
      <c r="C13" s="19">
        <v>0</v>
      </c>
      <c r="D13" s="18"/>
      <c r="E13" s="18"/>
      <c r="F13" s="18"/>
    </row>
    <row r="14" ht="20.1" customHeight="1">
      <c r="B14" t="s" s="10">
        <v>14</v>
      </c>
      <c r="C14" s="17">
        <f>IF(C21&gt;0,-C21*$C$13,0)</f>
        <v>0</v>
      </c>
      <c r="D14" s="18">
        <f>IF(D21&gt;0,-D21*$C$13,0)</f>
        <v>0</v>
      </c>
      <c r="E14" s="18">
        <f>IF(E21&gt;0,-E21*$C$13,0)</f>
        <v>0</v>
      </c>
      <c r="F14" s="18">
        <f>IF(F21&gt;0,-F21*$C$13,0)</f>
        <v>0</v>
      </c>
    </row>
    <row r="15" ht="20.05" customHeight="1">
      <c r="B15" t="s" s="10">
        <v>15</v>
      </c>
      <c r="C15" s="17">
        <f>C8+C9+C11+C14</f>
        <v>-656.3390987297699</v>
      </c>
      <c r="D15" s="18">
        <f>D8+D9+D11+D14</f>
        <v>-512.7649635392399</v>
      </c>
      <c r="E15" s="18">
        <f>E8+E9+E11+E14</f>
        <v>-288.273204424040</v>
      </c>
      <c r="F15" s="18">
        <f>F8+F9+F11+F14</f>
        <v>-441.820927406510</v>
      </c>
    </row>
    <row r="16" ht="20.1" customHeight="1">
      <c r="B16" t="s" s="10">
        <v>16</v>
      </c>
      <c r="C16" s="17">
        <f>'Balance sheet'!C32</f>
        <v>7404</v>
      </c>
      <c r="D16" s="18">
        <f>C18</f>
        <v>7404</v>
      </c>
      <c r="E16" s="18">
        <f>D18</f>
        <v>7404</v>
      </c>
      <c r="F16" s="18">
        <f>E18</f>
        <v>7404</v>
      </c>
    </row>
    <row r="17" ht="20.1" customHeight="1">
      <c r="B17" t="s" s="10">
        <v>17</v>
      </c>
      <c r="C17" s="17">
        <f>C8+C9+C10</f>
        <v>0</v>
      </c>
      <c r="D17" s="18">
        <f>D8+D9+D10</f>
        <v>0</v>
      </c>
      <c r="E17" s="18">
        <f>E8+E9+E10</f>
        <v>0</v>
      </c>
      <c r="F17" s="18">
        <f>F8+F9+F10</f>
        <v>0</v>
      </c>
    </row>
    <row r="18" ht="20.1" customHeight="1">
      <c r="B18" t="s" s="10">
        <v>18</v>
      </c>
      <c r="C18" s="17">
        <f>C16+C17</f>
        <v>7404</v>
      </c>
      <c r="D18" s="18">
        <f>D16+D17</f>
        <v>7404</v>
      </c>
      <c r="E18" s="18">
        <f>E16+E17</f>
        <v>7404</v>
      </c>
      <c r="F18" s="18">
        <f>F16+F17</f>
        <v>7404</v>
      </c>
    </row>
    <row r="19" ht="20.1" customHeight="1">
      <c r="B19" t="s" s="20">
        <v>19</v>
      </c>
      <c r="C19" s="21"/>
      <c r="D19" s="22"/>
      <c r="E19" s="22"/>
      <c r="F19" s="23"/>
    </row>
    <row r="20" ht="20.1" customHeight="1">
      <c r="B20" t="s" s="10">
        <v>20</v>
      </c>
      <c r="C20" s="17">
        <f>-AVERAGE('Sales'!E32)</f>
        <v>-84.8</v>
      </c>
      <c r="D20" s="18">
        <f>C20</f>
        <v>-84.8</v>
      </c>
      <c r="E20" s="18">
        <f>D20</f>
        <v>-84.8</v>
      </c>
      <c r="F20" s="18">
        <f>E20</f>
        <v>-84.8</v>
      </c>
    </row>
    <row r="21" ht="20.1" customHeight="1">
      <c r="B21" t="s" s="10">
        <v>21</v>
      </c>
      <c r="C21" s="17">
        <f>C5+C7+C20</f>
        <v>522.760901270230</v>
      </c>
      <c r="D21" s="18">
        <f>D5+D7+D20</f>
        <v>613.895036460760</v>
      </c>
      <c r="E21" s="18">
        <f>E5+E7+E20</f>
        <v>788.5687955759601</v>
      </c>
      <c r="F21" s="18">
        <f>F5+F7+F20</f>
        <v>587.693972593490</v>
      </c>
    </row>
    <row r="22" ht="20.1" customHeight="1">
      <c r="B22" t="s" s="20">
        <v>22</v>
      </c>
      <c r="C22" s="21"/>
      <c r="D22" s="22"/>
      <c r="E22" s="22"/>
      <c r="F22" s="18"/>
    </row>
    <row r="23" ht="20.1" customHeight="1">
      <c r="B23" t="s" s="10">
        <v>23</v>
      </c>
      <c r="C23" s="17">
        <f>'Balance sheet'!E32+'Balance sheet'!F32-C9</f>
        <v>36653.1</v>
      </c>
      <c r="D23" s="18">
        <f>C23-D9</f>
        <v>36868.2</v>
      </c>
      <c r="E23" s="18">
        <f>D23-E9</f>
        <v>37083.3</v>
      </c>
      <c r="F23" s="18">
        <f>E23-F9</f>
        <v>37298.4</v>
      </c>
    </row>
    <row r="24" ht="20.1" customHeight="1">
      <c r="B24" t="s" s="10">
        <v>24</v>
      </c>
      <c r="C24" s="17">
        <f>'Balance sheet'!F32-C20</f>
        <v>3108.8</v>
      </c>
      <c r="D24" s="18">
        <f>C24-D20</f>
        <v>3193.6</v>
      </c>
      <c r="E24" s="18">
        <f>D24-E20</f>
        <v>3278.4</v>
      </c>
      <c r="F24" s="18">
        <f>E24-F20</f>
        <v>3363.2</v>
      </c>
    </row>
    <row r="25" ht="20.1" customHeight="1">
      <c r="B25" t="s" s="10">
        <v>25</v>
      </c>
      <c r="C25" s="17">
        <f>C23-C24</f>
        <v>33544.3</v>
      </c>
      <c r="D25" s="18">
        <f>D23-D24</f>
        <v>33674.6</v>
      </c>
      <c r="E25" s="18">
        <f>E23-E24</f>
        <v>33804.9</v>
      </c>
      <c r="F25" s="18">
        <f>F23-F24</f>
        <v>33935.2</v>
      </c>
    </row>
    <row r="26" ht="20.1" customHeight="1">
      <c r="B26" t="s" s="10">
        <v>11</v>
      </c>
      <c r="C26" s="17">
        <f>'Balance sheet'!G32+C11</f>
        <v>19927.2</v>
      </c>
      <c r="D26" s="18">
        <f>C26+D11</f>
        <v>18930.84</v>
      </c>
      <c r="E26" s="18">
        <f>D26+E11</f>
        <v>17984.298</v>
      </c>
      <c r="F26" s="18">
        <f>E26+F11</f>
        <v>17085.0831</v>
      </c>
    </row>
    <row r="27" ht="20.1" customHeight="1">
      <c r="B27" t="s" s="10">
        <v>12</v>
      </c>
      <c r="C27" s="17">
        <f>C12</f>
        <v>656.3390987297699</v>
      </c>
      <c r="D27" s="18">
        <f>C27+D12</f>
        <v>1169.104062269010</v>
      </c>
      <c r="E27" s="18">
        <f>D27+E12</f>
        <v>1457.377266693050</v>
      </c>
      <c r="F27" s="18">
        <f>E27+F12</f>
        <v>1899.198194099560</v>
      </c>
    </row>
    <row r="28" ht="20.05" customHeight="1">
      <c r="B28" t="s" s="10">
        <v>26</v>
      </c>
      <c r="C28" s="17">
        <f>'Balance sheet'!H32+C21+C14</f>
        <v>20364.7609012702</v>
      </c>
      <c r="D28" s="18">
        <f>C28+D21+D14</f>
        <v>20978.655937731</v>
      </c>
      <c r="E28" s="18">
        <f>D28+E21+E14</f>
        <v>21767.224733307</v>
      </c>
      <c r="F28" s="18">
        <f>E28+F21+F14</f>
        <v>22354.9187059005</v>
      </c>
    </row>
    <row r="29" ht="20.1" customHeight="1">
      <c r="B29" t="s" s="10">
        <v>27</v>
      </c>
      <c r="C29" s="17">
        <f>C26+C27+C28-C18-C25</f>
        <v>-3e-11</v>
      </c>
      <c r="D29" s="18">
        <f>D26+D27+D28-D18-D25</f>
        <v>9.999999999999999e-12</v>
      </c>
      <c r="E29" s="18">
        <f>E26+E27+E28-E18-E25</f>
        <v>5e-11</v>
      </c>
      <c r="F29" s="18">
        <f>F26+F27+F28-F18-F25</f>
        <v>6e-11</v>
      </c>
    </row>
    <row r="30" ht="20.1" customHeight="1">
      <c r="B30" t="s" s="10">
        <v>28</v>
      </c>
      <c r="C30" s="17">
        <f>C18-C26-C27</f>
        <v>-13179.5390987298</v>
      </c>
      <c r="D30" s="18">
        <f>D18-D26-D27</f>
        <v>-12695.944062269</v>
      </c>
      <c r="E30" s="18">
        <f>E18-E26-E27</f>
        <v>-12037.6752666931</v>
      </c>
      <c r="F30" s="18">
        <f>F18-F26-F27</f>
        <v>-11580.2812940996</v>
      </c>
    </row>
    <row r="31" ht="20.1" customHeight="1">
      <c r="B31" t="s" s="20">
        <v>29</v>
      </c>
      <c r="C31" s="17"/>
      <c r="D31" s="18"/>
      <c r="E31" s="18"/>
      <c r="F31" s="18"/>
    </row>
    <row r="32" ht="20.1" customHeight="1">
      <c r="B32" t="s" s="10">
        <v>30</v>
      </c>
      <c r="C32" s="17">
        <f>'Cashflow'!L32-C10</f>
        <v>-3714.759098729770</v>
      </c>
      <c r="D32" s="18">
        <f>C32-D10</f>
        <v>-3231.164062269010</v>
      </c>
      <c r="E32" s="18">
        <f>D32-E10</f>
        <v>-2572.895266693050</v>
      </c>
      <c r="F32" s="18">
        <f>E32-F10</f>
        <v>-2115.501294099560</v>
      </c>
    </row>
    <row r="33" ht="20.1" customHeight="1">
      <c r="B33" t="s" s="10">
        <v>31</v>
      </c>
      <c r="C33" s="17"/>
      <c r="D33" s="18"/>
      <c r="E33" s="18"/>
      <c r="F33" s="18">
        <v>18535700480000</v>
      </c>
    </row>
    <row r="34" ht="20.1" customHeight="1">
      <c r="B34" t="s" s="10">
        <v>31</v>
      </c>
      <c r="C34" s="17"/>
      <c r="D34" s="18"/>
      <c r="E34" s="18"/>
      <c r="F34" s="18">
        <f>F33/1000000000</f>
        <v>18535.70048</v>
      </c>
    </row>
    <row r="35" ht="20.1" customHeight="1">
      <c r="B35" t="s" s="10">
        <v>32</v>
      </c>
      <c r="C35" s="17"/>
      <c r="D35" s="18"/>
      <c r="E35" s="18"/>
      <c r="F35" s="24">
        <f>F34/(F18+F25)</f>
        <v>0.448380725316407</v>
      </c>
    </row>
    <row r="36" ht="20.1" customHeight="1">
      <c r="B36" t="s" s="10">
        <v>33</v>
      </c>
      <c r="C36" s="17"/>
      <c r="D36" s="18"/>
      <c r="E36" s="18"/>
      <c r="F36" s="16">
        <f>-(C14+D14+E14+F14)/F34</f>
        <v>0</v>
      </c>
    </row>
    <row r="37" ht="20.1" customHeight="1">
      <c r="B37" t="s" s="10">
        <v>34</v>
      </c>
      <c r="C37" s="17"/>
      <c r="D37" s="18"/>
      <c r="E37" s="18"/>
      <c r="F37" s="18">
        <f>SUM(C8:F9)</f>
        <v>1991.718705900440</v>
      </c>
    </row>
    <row r="38" ht="20.1" customHeight="1">
      <c r="B38" t="s" s="10">
        <v>35</v>
      </c>
      <c r="C38" s="17"/>
      <c r="D38" s="18"/>
      <c r="E38" s="18"/>
      <c r="F38" s="18">
        <f>'Balance sheet'!E32/F37</f>
        <v>16.7764654220556</v>
      </c>
    </row>
    <row r="39" ht="20.1" customHeight="1">
      <c r="B39" t="s" s="10">
        <v>29</v>
      </c>
      <c r="C39" s="17"/>
      <c r="D39" s="18"/>
      <c r="E39" s="18"/>
      <c r="F39" s="18">
        <f>F34/F37</f>
        <v>9.30638469432869</v>
      </c>
    </row>
    <row r="40" ht="20.1" customHeight="1">
      <c r="B40" t="s" s="10">
        <v>36</v>
      </c>
      <c r="C40" s="17"/>
      <c r="D40" s="18"/>
      <c r="E40" s="18"/>
      <c r="F40" s="18">
        <v>16</v>
      </c>
    </row>
    <row r="41" ht="20.1" customHeight="1">
      <c r="B41" t="s" s="10">
        <v>37</v>
      </c>
      <c r="C41" s="17"/>
      <c r="D41" s="18"/>
      <c r="E41" s="18"/>
      <c r="F41" s="18">
        <f>F37*F40</f>
        <v>31867.499294407</v>
      </c>
    </row>
    <row r="42" ht="20.1" customHeight="1">
      <c r="B42" t="s" s="10">
        <v>38</v>
      </c>
      <c r="C42" s="17"/>
      <c r="D42" s="18"/>
      <c r="E42" s="18"/>
      <c r="F42" s="18">
        <f>F34/F44</f>
        <v>18.53570048</v>
      </c>
    </row>
    <row r="43" ht="20.1" customHeight="1">
      <c r="B43" t="s" s="10">
        <v>39</v>
      </c>
      <c r="C43" s="17"/>
      <c r="D43" s="18"/>
      <c r="E43" s="18"/>
      <c r="F43" s="18">
        <f>F41/F42</f>
        <v>1719.249797373020</v>
      </c>
    </row>
    <row r="44" ht="20.1" customHeight="1">
      <c r="B44" t="s" s="10">
        <v>40</v>
      </c>
      <c r="C44" s="17"/>
      <c r="D44" s="18"/>
      <c r="E44" s="18"/>
      <c r="F44" s="18">
        <v>1000</v>
      </c>
    </row>
    <row r="45" ht="20.1" customHeight="1">
      <c r="B45" t="s" s="10">
        <v>41</v>
      </c>
      <c r="C45" s="17"/>
      <c r="D45" s="18"/>
      <c r="E45" s="18"/>
      <c r="F45" s="16">
        <f>F43/F44-1</f>
        <v>0.71924979737302</v>
      </c>
    </row>
    <row r="46" ht="20.1" customHeight="1">
      <c r="B46" t="s" s="10">
        <v>42</v>
      </c>
      <c r="C46" s="17"/>
      <c r="D46" s="18"/>
      <c r="E46" s="18"/>
      <c r="F46" s="16">
        <f>'Sales'!C32/'Sales'!C28-1</f>
        <v>0.207218890149673</v>
      </c>
    </row>
    <row r="47" ht="20.1" customHeight="1">
      <c r="B47" t="s" s="10">
        <v>43</v>
      </c>
      <c r="C47" s="17"/>
      <c r="D47" s="18"/>
      <c r="E47" s="18"/>
      <c r="F47" s="16">
        <f>'Sales'!F35/'Sales'!E35-1</f>
        <v>-0.135002964596634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92969" style="25" customWidth="1"/>
    <col min="2" max="2" width="8.77344" style="25" customWidth="1"/>
    <col min="3" max="10" width="11.6719" style="25" customWidth="1"/>
    <col min="11" max="16384" width="16.3516" style="25" customWidth="1"/>
  </cols>
  <sheetData>
    <row r="1" ht="45.6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21</v>
      </c>
      <c r="G3" t="s" s="5">
        <v>44</v>
      </c>
      <c r="H3" t="s" s="5">
        <v>45</v>
      </c>
      <c r="I3" t="s" s="5">
        <v>45</v>
      </c>
      <c r="J3" t="s" s="5">
        <v>36</v>
      </c>
    </row>
    <row r="4" ht="20.25" customHeight="1">
      <c r="B4" s="26">
        <v>2015</v>
      </c>
      <c r="C4" s="27">
        <v>1423.97</v>
      </c>
      <c r="D4" s="28"/>
      <c r="E4" s="29">
        <v>56.5</v>
      </c>
      <c r="F4" s="29">
        <v>336.5</v>
      </c>
      <c r="G4" s="9"/>
      <c r="H4" s="30">
        <f>(E4+F4-C4)/C4</f>
        <v>-0.7240110395584179</v>
      </c>
      <c r="I4" s="30"/>
      <c r="J4" s="30"/>
    </row>
    <row r="5" ht="20.05" customHeight="1">
      <c r="B5" s="31"/>
      <c r="C5" s="17">
        <v>1665.83</v>
      </c>
      <c r="D5" s="22"/>
      <c r="E5" s="18">
        <f>115-E4</f>
        <v>58.5</v>
      </c>
      <c r="F5" s="18">
        <f>706.4-F4</f>
        <v>369.9</v>
      </c>
      <c r="G5" s="16">
        <f>C5/C4-1</f>
        <v>0.169849083899239</v>
      </c>
      <c r="H5" s="16">
        <f>(E5+F5-C5)/C5</f>
        <v>-0.7428309011123581</v>
      </c>
      <c r="I5" s="16"/>
      <c r="J5" s="16"/>
    </row>
    <row r="6" ht="20.05" customHeight="1">
      <c r="B6" s="31"/>
      <c r="C6" s="17">
        <v>2273.6</v>
      </c>
      <c r="D6" s="22"/>
      <c r="E6" s="18">
        <f>174.1-SUM(E4:E5)</f>
        <v>59.1</v>
      </c>
      <c r="F6" s="18">
        <f>1283.59-SUM(F4:F5)</f>
        <v>577.1900000000001</v>
      </c>
      <c r="G6" s="16">
        <f>C6/C5-1</f>
        <v>0.364845152266438</v>
      </c>
      <c r="H6" s="16">
        <f>(E6+F6-C6)/C6</f>
        <v>-0.720139866291344</v>
      </c>
      <c r="I6" s="16"/>
      <c r="J6" s="16"/>
    </row>
    <row r="7" ht="20.05" customHeight="1">
      <c r="B7" s="31"/>
      <c r="C7" s="17">
        <v>2194.5</v>
      </c>
      <c r="D7" s="22"/>
      <c r="E7" s="18">
        <f>240.2-SUM(E4:E6)</f>
        <v>66.09999999999999</v>
      </c>
      <c r="F7" s="18">
        <f>1740.3-SUM(F4:F6)</f>
        <v>456.71</v>
      </c>
      <c r="G7" s="16">
        <f>C7/C6-1</f>
        <v>-0.0347906403940887</v>
      </c>
      <c r="H7" s="16">
        <f>(E7+F7-C7)/C7</f>
        <v>-0.761763499658237</v>
      </c>
      <c r="I7" s="16"/>
      <c r="J7" s="16"/>
    </row>
    <row r="8" ht="20.05" customHeight="1">
      <c r="B8" s="32">
        <v>2016</v>
      </c>
      <c r="C8" s="17">
        <v>1304.6</v>
      </c>
      <c r="D8" s="22"/>
      <c r="E8" s="18">
        <v>64.5</v>
      </c>
      <c r="F8" s="18">
        <v>208.8</v>
      </c>
      <c r="G8" s="16">
        <f>C8/C7-1</f>
        <v>-0.405513784461153</v>
      </c>
      <c r="H8" s="16">
        <f>(E8+F8-C8)/C8</f>
        <v>-0.790510501303081</v>
      </c>
      <c r="I8" s="16">
        <f>AVERAGE(H5:H8)</f>
        <v>-0.753811192091255</v>
      </c>
      <c r="J8" s="16"/>
    </row>
    <row r="9" ht="20.05" customHeight="1">
      <c r="B9" s="31"/>
      <c r="C9" s="17">
        <v>1603.9</v>
      </c>
      <c r="D9" s="22"/>
      <c r="E9" s="18">
        <f>124.8-E8</f>
        <v>60.3</v>
      </c>
      <c r="F9" s="18">
        <f>339.2-F8</f>
        <v>130.4</v>
      </c>
      <c r="G9" s="16">
        <f>C9/C8-1</f>
        <v>0.229418978997394</v>
      </c>
      <c r="H9" s="16">
        <f>(E9+F9-C9)/C9</f>
        <v>-0.88110231311179</v>
      </c>
      <c r="I9" s="16">
        <f>AVERAGE(H6:H9)</f>
        <v>-0.788379045091113</v>
      </c>
      <c r="J9" s="16"/>
    </row>
    <row r="10" ht="20.05" customHeight="1">
      <c r="B10" s="31"/>
      <c r="C10" s="17">
        <v>1510.48</v>
      </c>
      <c r="D10" s="22"/>
      <c r="E10" s="18">
        <f>188.9-SUM(E8:E9)</f>
        <v>64.09999999999999</v>
      </c>
      <c r="F10" s="18">
        <f>668.15-SUM(F8:F9)</f>
        <v>328.95</v>
      </c>
      <c r="G10" s="16">
        <f>C10/C9-1</f>
        <v>-0.0582455265290854</v>
      </c>
      <c r="H10" s="16">
        <f>(E10+F10-C10)/C10</f>
        <v>-0.739784704199989</v>
      </c>
      <c r="I10" s="16">
        <f>AVERAGE(H7:H10)</f>
        <v>-0.793290254568274</v>
      </c>
      <c r="J10" s="16"/>
    </row>
    <row r="11" ht="20.05" customHeight="1">
      <c r="B11" s="31"/>
      <c r="C11" s="17">
        <v>2358.96</v>
      </c>
      <c r="D11" s="22"/>
      <c r="E11" s="18">
        <f>246.5-SUM(E8:E10)</f>
        <v>57.6</v>
      </c>
      <c r="F11" s="18">
        <f>1170.7-SUM(F8:F10)</f>
        <v>502.55</v>
      </c>
      <c r="G11" s="16">
        <f>C11/C10-1</f>
        <v>0.561728721995657</v>
      </c>
      <c r="H11" s="16">
        <f>(E11+F11-C11)/C11</f>
        <v>-0.762543663309255</v>
      </c>
      <c r="I11" s="16">
        <f>AVERAGE(H8:H11)</f>
        <v>-0.793485295481029</v>
      </c>
      <c r="J11" s="16"/>
    </row>
    <row r="12" ht="20.05" customHeight="1">
      <c r="B12" s="32">
        <v>2017</v>
      </c>
      <c r="C12" s="17">
        <v>1270.7</v>
      </c>
      <c r="D12" s="22"/>
      <c r="E12" s="18">
        <v>69.90000000000001</v>
      </c>
      <c r="F12" s="18">
        <v>228</v>
      </c>
      <c r="G12" s="16">
        <f>C12/C11-1</f>
        <v>-0.461330416793841</v>
      </c>
      <c r="H12" s="16">
        <f>(E12+F12-C12)/C12</f>
        <v>-0.7655622885024</v>
      </c>
      <c r="I12" s="16">
        <f>AVERAGE(H9:H12)</f>
        <v>-0.787248242280859</v>
      </c>
      <c r="J12" s="16"/>
    </row>
    <row r="13" ht="20.05" customHeight="1">
      <c r="B13" s="31"/>
      <c r="C13" s="17">
        <v>1555.4</v>
      </c>
      <c r="D13" s="22"/>
      <c r="E13" s="18">
        <f>137.7-E12</f>
        <v>67.8</v>
      </c>
      <c r="F13" s="18">
        <f>368.7-F12</f>
        <v>140.7</v>
      </c>
      <c r="G13" s="16">
        <f>C13/C12-1</f>
        <v>0.224049736365783</v>
      </c>
      <c r="H13" s="16">
        <f>(E13+F13-C13)/C13</f>
        <v>-0.865950880802366</v>
      </c>
      <c r="I13" s="16">
        <f>AVERAGE(H10:H13)</f>
        <v>-0.7834603842035029</v>
      </c>
      <c r="J13" s="16"/>
    </row>
    <row r="14" ht="20.05" customHeight="1">
      <c r="B14" s="31"/>
      <c r="C14" s="17">
        <v>1522.23</v>
      </c>
      <c r="D14" s="22"/>
      <c r="E14" s="18">
        <f>209.3-SUM(E12:E13)</f>
        <v>71.59999999999999</v>
      </c>
      <c r="F14" s="18">
        <f>624.78-SUM(F12:F13)</f>
        <v>256.08</v>
      </c>
      <c r="G14" s="16">
        <f>C14/C13-1</f>
        <v>-0.0213257039989713</v>
      </c>
      <c r="H14" s="16">
        <f>(E14+F14-C14)/C14</f>
        <v>-0.784736866307982</v>
      </c>
      <c r="I14" s="16">
        <f>AVERAGE(H11:H14)</f>
        <v>-0.794698424730501</v>
      </c>
      <c r="J14" s="16"/>
    </row>
    <row r="15" ht="20.05" customHeight="1">
      <c r="B15" s="31"/>
      <c r="C15" s="17">
        <v>2125.13</v>
      </c>
      <c r="D15" s="22"/>
      <c r="E15" s="18">
        <f>265.1-SUM(E12:E14)</f>
        <v>55.8</v>
      </c>
      <c r="F15" s="18">
        <f>1018.5-SUM(F12:F14)</f>
        <v>393.72</v>
      </c>
      <c r="G15" s="16">
        <f>C15/C14-1</f>
        <v>0.396063669747673</v>
      </c>
      <c r="H15" s="16">
        <f>(E15+F15-C15)/C15</f>
        <v>-0.788474116877556</v>
      </c>
      <c r="I15" s="16">
        <f>AVERAGE(H12:H15)</f>
        <v>-0.801181038122576</v>
      </c>
      <c r="J15" s="16"/>
    </row>
    <row r="16" ht="20.05" customHeight="1">
      <c r="B16" s="32">
        <v>2018</v>
      </c>
      <c r="C16" s="17">
        <v>1357.62</v>
      </c>
      <c r="D16" s="22"/>
      <c r="E16" s="18">
        <v>69.90000000000001</v>
      </c>
      <c r="F16" s="18">
        <v>147.2</v>
      </c>
      <c r="G16" s="16">
        <f>C16/C15-1</f>
        <v>-0.361159082032629</v>
      </c>
      <c r="H16" s="16">
        <f>(E16+F16-C16)/C16</f>
        <v>-0.8400878007100659</v>
      </c>
      <c r="I16" s="16">
        <f>AVERAGE(H13:H16)</f>
        <v>-0.819812416174493</v>
      </c>
      <c r="J16" s="16"/>
    </row>
    <row r="17" ht="20.05" customHeight="1">
      <c r="B17" s="31"/>
      <c r="C17" s="17">
        <v>1447.05</v>
      </c>
      <c r="D17" s="22"/>
      <c r="E17" s="18">
        <f>145.8-E16</f>
        <v>75.90000000000001</v>
      </c>
      <c r="F17" s="18">
        <f>224.98-F16</f>
        <v>77.78</v>
      </c>
      <c r="G17" s="16">
        <f>C17/C16-1</f>
        <v>0.065872630043753</v>
      </c>
      <c r="H17" s="16">
        <f>(E17+F17-C17)/C17</f>
        <v>-0.893797726408901</v>
      </c>
      <c r="I17" s="16">
        <f>AVERAGE(H14:H17)</f>
        <v>-0.826774127576126</v>
      </c>
      <c r="J17" s="16"/>
    </row>
    <row r="18" ht="20.05" customHeight="1">
      <c r="B18" s="31"/>
      <c r="C18" s="17">
        <v>1885.81</v>
      </c>
      <c r="D18" s="22"/>
      <c r="E18" s="18">
        <f>218-SUM(E16:E17)</f>
        <v>72.2</v>
      </c>
      <c r="F18" s="18">
        <f>657-SUM(F16:F17)</f>
        <v>432.02</v>
      </c>
      <c r="G18" s="16">
        <f>C18/C17-1</f>
        <v>0.303209978922636</v>
      </c>
      <c r="H18" s="16">
        <f>(E18+F18-C18)/C18</f>
        <v>-0.732624177409177</v>
      </c>
      <c r="I18" s="16">
        <f>AVERAGE(H15:H18)</f>
        <v>-0.813745955351425</v>
      </c>
      <c r="J18" s="16"/>
    </row>
    <row r="19" ht="20.05" customHeight="1">
      <c r="B19" s="31"/>
      <c r="C19" s="17">
        <v>3055.92</v>
      </c>
      <c r="D19" s="22"/>
      <c r="E19" s="18">
        <f>291.7-SUM(E16:E18)</f>
        <v>73.7</v>
      </c>
      <c r="F19" s="18">
        <f>1302.7-SUM(F16:F18)</f>
        <v>645.7</v>
      </c>
      <c r="G19" s="16">
        <f>C19/C18-1</f>
        <v>0.620481384656991</v>
      </c>
      <c r="H19" s="16">
        <f>(E19+F19-C19)/C19</f>
        <v>-0.764588078221943</v>
      </c>
      <c r="I19" s="16">
        <f>AVERAGE(H16:H19)</f>
        <v>-0.807774445687522</v>
      </c>
      <c r="J19" s="16"/>
    </row>
    <row r="20" ht="20.05" customHeight="1">
      <c r="B20" s="32">
        <v>2019</v>
      </c>
      <c r="C20" s="17">
        <v>1646.72</v>
      </c>
      <c r="D20" s="22"/>
      <c r="E20" s="18">
        <v>73.09999999999999</v>
      </c>
      <c r="F20" s="18">
        <v>297.5</v>
      </c>
      <c r="G20" s="16">
        <f>C20/C19-1</f>
        <v>-0.461137726118485</v>
      </c>
      <c r="H20" s="16">
        <f>(E20+F20-C20)/C20</f>
        <v>-0.77494656043529</v>
      </c>
      <c r="I20" s="16">
        <f>AVERAGE(H17:H20)</f>
        <v>-0.7914891356188281</v>
      </c>
      <c r="J20" s="16"/>
    </row>
    <row r="21" ht="20.05" customHeight="1">
      <c r="B21" s="31"/>
      <c r="C21" s="17">
        <f>3145.4-C20</f>
        <v>1498.68</v>
      </c>
      <c r="D21" s="22"/>
      <c r="E21" s="18">
        <f>147.6-E20</f>
        <v>74.5</v>
      </c>
      <c r="F21" s="18">
        <f>320.25-F20</f>
        <v>22.75</v>
      </c>
      <c r="G21" s="16">
        <f>C21/C20-1</f>
        <v>-0.0898999222697241</v>
      </c>
      <c r="H21" s="16">
        <f>(E21+F21-C21)/C21</f>
        <v>-0.935109563082179</v>
      </c>
      <c r="I21" s="16">
        <f>AVERAGE(H18:H21)</f>
        <v>-0.801817094787147</v>
      </c>
      <c r="J21" s="16"/>
    </row>
    <row r="22" ht="20.05" customHeight="1">
      <c r="B22" s="31"/>
      <c r="C22" s="17">
        <f>4655.4-SUM(C20:C21)</f>
        <v>1510</v>
      </c>
      <c r="D22" s="22"/>
      <c r="E22" s="18">
        <f>220.3-SUM(E20:E21)</f>
        <v>72.7</v>
      </c>
      <c r="F22" s="18">
        <f>462.4-SUM(F20:F21)</f>
        <v>142.15</v>
      </c>
      <c r="G22" s="16">
        <f>C22/C21-1</f>
        <v>0.00755331358261937</v>
      </c>
      <c r="H22" s="16">
        <f>(E22+F22-C22)/C22</f>
        <v>-0.857715231788079</v>
      </c>
      <c r="I22" s="16">
        <f>AVERAGE(H19:H22)</f>
        <v>-0.833089858381873</v>
      </c>
      <c r="J22" s="16"/>
    </row>
    <row r="23" ht="20.05" customHeight="1">
      <c r="B23" s="31"/>
      <c r="C23" s="17">
        <f>7608.2-SUM(C20:C22)</f>
        <v>2952.8</v>
      </c>
      <c r="D23" s="22"/>
      <c r="E23" s="18">
        <f>315.9-SUM(E20:E22)</f>
        <v>95.59999999999999</v>
      </c>
      <c r="F23" s="18">
        <f>1283.28-SUM(F20:F22)</f>
        <v>820.88</v>
      </c>
      <c r="G23" s="16">
        <f>C23/C22-1</f>
        <v>0.955496688741722</v>
      </c>
      <c r="H23" s="16">
        <f>(E23+F23-C23)/C23</f>
        <v>-0.689623408290436</v>
      </c>
      <c r="I23" s="16">
        <f>AVERAGE(H20:H23)</f>
        <v>-0.814348690898996</v>
      </c>
      <c r="J23" s="16"/>
    </row>
    <row r="24" ht="20.05" customHeight="1">
      <c r="B24" s="32">
        <v>2020</v>
      </c>
      <c r="C24" s="17">
        <v>1509.69</v>
      </c>
      <c r="D24" s="22"/>
      <c r="E24" s="18">
        <v>75.59999999999999</v>
      </c>
      <c r="F24" s="18">
        <v>184</v>
      </c>
      <c r="G24" s="16">
        <f>C24/C23-1</f>
        <v>-0.488725955025738</v>
      </c>
      <c r="H24" s="16">
        <f>(E24+F24-C24)/C24</f>
        <v>-0.828044168008002</v>
      </c>
      <c r="I24" s="16">
        <f>AVERAGE(H21:H24)</f>
        <v>-0.8276230927921741</v>
      </c>
      <c r="J24" s="16"/>
    </row>
    <row r="25" ht="20.05" customHeight="1">
      <c r="B25" s="31"/>
      <c r="C25" s="17">
        <f>2804.5-C24</f>
        <v>1294.81</v>
      </c>
      <c r="D25" s="22"/>
      <c r="E25" s="18">
        <f>149.2-E24</f>
        <v>73.59999999999999</v>
      </c>
      <c r="F25" s="18">
        <f>161.85-F24</f>
        <v>-22.15</v>
      </c>
      <c r="G25" s="16">
        <f>C25/C24-1</f>
        <v>-0.142333856619571</v>
      </c>
      <c r="H25" s="16">
        <f>(E25+F25-C25)/C25</f>
        <v>-0.9602644403425989</v>
      </c>
      <c r="I25" s="16">
        <f>AVERAGE(H22:H25)</f>
        <v>-0.833911812107279</v>
      </c>
      <c r="J25" s="16"/>
    </row>
    <row r="26" ht="20.05" customHeight="1">
      <c r="B26" s="31"/>
      <c r="C26" s="17">
        <f>4240.1-SUM(C24:C25)</f>
        <v>1435.6</v>
      </c>
      <c r="D26" s="18">
        <v>1359.162</v>
      </c>
      <c r="E26" s="18">
        <f>227-SUM(E24:E25)</f>
        <v>77.8</v>
      </c>
      <c r="F26" s="18">
        <f>248-SUM(F24:F25)</f>
        <v>86.15000000000001</v>
      </c>
      <c r="G26" s="16">
        <f>C26/C25-1</f>
        <v>0.108734099983781</v>
      </c>
      <c r="H26" s="16">
        <f>(E26+F26-C26)/C26</f>
        <v>-0.88579687935358</v>
      </c>
      <c r="I26" s="16">
        <f>AVERAGE(H23:H26)</f>
        <v>-0.840932223998654</v>
      </c>
      <c r="J26" s="16"/>
    </row>
    <row r="27" ht="20.05" customHeight="1">
      <c r="B27" s="31"/>
      <c r="C27" s="17">
        <f>8070.7-SUM(C24:C26)</f>
        <v>3830.6</v>
      </c>
      <c r="D27" s="18">
        <v>1784.73792</v>
      </c>
      <c r="E27" s="18">
        <f>299.1-SUM(E24:E26)</f>
        <v>72.09999999999999</v>
      </c>
      <c r="F27" s="18">
        <f>1370.7-SUM(F24:F26)</f>
        <v>1122.7</v>
      </c>
      <c r="G27" s="16">
        <f>C27/C26-1</f>
        <v>1.66829200334355</v>
      </c>
      <c r="H27" s="16">
        <f>(E27+F27-C27)/C27</f>
        <v>-0.688090638542265</v>
      </c>
      <c r="I27" s="16">
        <f>AVERAGE(H24:H27)</f>
        <v>-0.840549031561612</v>
      </c>
      <c r="J27" s="16"/>
    </row>
    <row r="28" ht="20.05" customHeight="1">
      <c r="B28" s="32">
        <v>2021</v>
      </c>
      <c r="C28" s="17">
        <v>1850.7</v>
      </c>
      <c r="D28" s="18">
        <v>1532.24</v>
      </c>
      <c r="E28" s="18">
        <v>78.09999999999999</v>
      </c>
      <c r="F28" s="18">
        <v>328.8</v>
      </c>
      <c r="G28" s="16">
        <f>C28/C27-1</f>
        <v>-0.516864198820028</v>
      </c>
      <c r="H28" s="16">
        <f>(E28+F28-C28)/C28</f>
        <v>-0.780137245366618</v>
      </c>
      <c r="I28" s="16">
        <f>AVERAGE(H25:H28)</f>
        <v>-0.828572300901266</v>
      </c>
      <c r="J28" s="16"/>
    </row>
    <row r="29" ht="20.05" customHeight="1">
      <c r="B29" s="31"/>
      <c r="C29" s="17">
        <f>4020.3-C28</f>
        <v>2169.6</v>
      </c>
      <c r="D29" s="18">
        <v>2220.84</v>
      </c>
      <c r="E29" s="18">
        <f>155.3-E28</f>
        <v>77.2</v>
      </c>
      <c r="F29" s="18">
        <f>650-F28</f>
        <v>321.2</v>
      </c>
      <c r="G29" s="16">
        <f>C29/C28-1</f>
        <v>0.172313178797212</v>
      </c>
      <c r="H29" s="16">
        <f>(E29+F29-C29)/C29</f>
        <v>-0.816371681415929</v>
      </c>
      <c r="I29" s="16">
        <f>AVERAGE(H26:H29)</f>
        <v>-0.792599111169598</v>
      </c>
      <c r="J29" s="16"/>
    </row>
    <row r="30" ht="20.05" customHeight="1">
      <c r="B30" s="31"/>
      <c r="C30" s="17">
        <f>6648.7-SUM(C28:C29)</f>
        <v>2628.4</v>
      </c>
      <c r="D30" s="14">
        <v>2147.904</v>
      </c>
      <c r="E30" s="18">
        <f>233.2-SUM(E28:E29)</f>
        <v>77.90000000000001</v>
      </c>
      <c r="F30" s="18">
        <f>1268.4-SUM(F28:F29)</f>
        <v>618.4</v>
      </c>
      <c r="G30" s="16">
        <f>C30/C29-1</f>
        <v>0.211467551622419</v>
      </c>
      <c r="H30" s="16">
        <f>(E30+F30-C30)/C30</f>
        <v>-0.735085983868513</v>
      </c>
      <c r="I30" s="16">
        <f>AVERAGE(H27:H30)</f>
        <v>-0.754921387298331</v>
      </c>
      <c r="J30" s="16"/>
    </row>
    <row r="31" ht="20.05" customHeight="1">
      <c r="B31" s="31"/>
      <c r="C31" s="17">
        <f>9729.6-SUM(C28:C30)</f>
        <v>3080.9</v>
      </c>
      <c r="D31" s="14">
        <v>3548.34</v>
      </c>
      <c r="E31" s="18">
        <f>309.1-SUM(E28:E30)</f>
        <v>75.90000000000001</v>
      </c>
      <c r="F31" s="18">
        <f>2087.7-SUM(F28:F30)</f>
        <v>819.3</v>
      </c>
      <c r="G31" s="16">
        <f>C31/C30-1</f>
        <v>0.172157966823923</v>
      </c>
      <c r="H31" s="16">
        <f>(E31+F31-C31)/C31</f>
        <v>-0.70943555454575</v>
      </c>
      <c r="I31" s="16">
        <f>AVERAGE(H28:H31)</f>
        <v>-0.760257616299203</v>
      </c>
      <c r="J31" s="16"/>
    </row>
    <row r="32" ht="20.05" customHeight="1">
      <c r="B32" s="32">
        <v>2022</v>
      </c>
      <c r="C32" s="17">
        <v>2234.2</v>
      </c>
      <c r="D32" s="14">
        <v>2310.675</v>
      </c>
      <c r="E32" s="18">
        <v>84.8</v>
      </c>
      <c r="F32" s="18">
        <v>473.2</v>
      </c>
      <c r="G32" s="16">
        <f>C32/C31-1</f>
        <v>-0.274822292187348</v>
      </c>
      <c r="H32" s="16">
        <f>(E32+F32-C32)/C32</f>
        <v>-0.750246173126846</v>
      </c>
      <c r="I32" s="16">
        <f>AVERAGE(H29:H32)</f>
        <v>-0.75278484823926</v>
      </c>
      <c r="J32" s="16">
        <v>-0.760257616299203</v>
      </c>
    </row>
    <row r="33" ht="20.05" customHeight="1">
      <c r="B33" s="31"/>
      <c r="C33" s="21"/>
      <c r="D33" s="14">
        <f>'Model'!C5</f>
        <v>2457.62</v>
      </c>
      <c r="E33" s="18"/>
      <c r="F33" s="18"/>
      <c r="G33" s="12"/>
      <c r="H33" s="23"/>
      <c r="I33" s="23"/>
      <c r="J33" s="16">
        <f>'Model'!C6</f>
        <v>-0.75278484823926</v>
      </c>
    </row>
    <row r="34" ht="20.05" customHeight="1">
      <c r="B34" s="31"/>
      <c r="C34" s="21"/>
      <c r="D34" s="18">
        <f>'Model'!D5</f>
        <v>2826.263</v>
      </c>
      <c r="E34" s="18"/>
      <c r="F34" s="18"/>
      <c r="G34" s="12"/>
      <c r="H34" s="12"/>
      <c r="I34" s="12"/>
      <c r="J34" s="12"/>
    </row>
    <row r="35" ht="20.05" customHeight="1">
      <c r="B35" s="31"/>
      <c r="C35" s="21"/>
      <c r="D35" s="18">
        <f>'Model'!E5</f>
        <v>3532.82875</v>
      </c>
      <c r="E35" s="18">
        <f>SUM(C26:C32)</f>
        <v>17230</v>
      </c>
      <c r="F35" s="18">
        <f>SUM(D26:D32)</f>
        <v>14903.89892</v>
      </c>
      <c r="G35" s="12"/>
      <c r="H35" s="12"/>
      <c r="I35" s="12"/>
      <c r="J35" s="12"/>
    </row>
    <row r="36" ht="20.05" customHeight="1">
      <c r="B36" s="32">
        <v>2023</v>
      </c>
      <c r="C36" s="21"/>
      <c r="D36" s="18">
        <f>'Model'!F5</f>
        <v>2720.2781375</v>
      </c>
      <c r="E36" s="18"/>
      <c r="F36" s="18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7812" style="33" customWidth="1"/>
    <col min="2" max="2" width="9.46875" style="33" customWidth="1"/>
    <col min="3" max="3" width="12.3047" style="33" customWidth="1"/>
    <col min="4" max="4" width="11.9531" style="33" customWidth="1"/>
    <col min="5" max="5" width="11.7266" style="33" customWidth="1"/>
    <col min="6" max="14" width="10.9844" style="33" customWidth="1"/>
    <col min="15" max="16384" width="16.3516" style="33" customWidth="1"/>
  </cols>
  <sheetData>
    <row r="1" ht="32.6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11</v>
      </c>
      <c r="G3" t="s" s="5">
        <v>26</v>
      </c>
      <c r="H3" t="s" s="5">
        <v>10</v>
      </c>
      <c r="I3" t="s" s="5">
        <v>49</v>
      </c>
      <c r="J3" t="s" s="5">
        <v>34</v>
      </c>
      <c r="K3" t="s" s="5">
        <v>36</v>
      </c>
      <c r="L3" t="s" s="5">
        <v>30</v>
      </c>
      <c r="M3" t="s" s="5">
        <v>36</v>
      </c>
      <c r="N3" s="34"/>
    </row>
    <row r="4" ht="20.25" customHeight="1">
      <c r="B4" s="26">
        <v>2015</v>
      </c>
      <c r="C4" s="27">
        <v>1346.9</v>
      </c>
      <c r="D4" s="29">
        <v>111</v>
      </c>
      <c r="E4" s="29">
        <v>-253.5</v>
      </c>
      <c r="F4" s="29"/>
      <c r="G4" s="29"/>
      <c r="H4" s="29">
        <v>643.59</v>
      </c>
      <c r="I4" s="29">
        <f>D4+E4</f>
        <v>-142.5</v>
      </c>
      <c r="J4" s="28"/>
      <c r="K4" s="29"/>
      <c r="L4" s="29">
        <f>-H4</f>
        <v>-643.59</v>
      </c>
      <c r="M4" s="29"/>
      <c r="N4" s="29">
        <v>1</v>
      </c>
    </row>
    <row r="5" ht="20.05" customHeight="1">
      <c r="B5" s="31"/>
      <c r="C5" s="17">
        <f>3031.4-C4</f>
        <v>1684.5</v>
      </c>
      <c r="D5" s="18">
        <f>442.66-D4</f>
        <v>331.66</v>
      </c>
      <c r="E5" s="18">
        <f>-1432-E4</f>
        <v>-1178.5</v>
      </c>
      <c r="F5" s="18"/>
      <c r="G5" s="18"/>
      <c r="H5" s="18">
        <f>823.7-H4</f>
        <v>180.11</v>
      </c>
      <c r="I5" s="18">
        <f>D5+E5</f>
        <v>-846.84</v>
      </c>
      <c r="J5" s="22"/>
      <c r="K5" s="18"/>
      <c r="L5" s="18">
        <f>-H5+L4</f>
        <v>-823.7</v>
      </c>
      <c r="M5" s="18"/>
      <c r="N5" s="18">
        <f>1+N4</f>
        <v>2</v>
      </c>
    </row>
    <row r="6" ht="20.05" customHeight="1">
      <c r="B6" s="31"/>
      <c r="C6" s="17">
        <f>5229.69-SUM(C4:C5)</f>
        <v>2198.29</v>
      </c>
      <c r="D6" s="18">
        <f>1097.25-SUM(D4:D5)</f>
        <v>654.59</v>
      </c>
      <c r="E6" s="18">
        <f>-1667.65-SUM(E4:E5)</f>
        <v>-235.65</v>
      </c>
      <c r="F6" s="18"/>
      <c r="G6" s="18"/>
      <c r="H6" s="18">
        <f>865.411-SUM(H4:H5)</f>
        <v>41.711</v>
      </c>
      <c r="I6" s="18">
        <f>D6+E6</f>
        <v>418.94</v>
      </c>
      <c r="J6" s="22"/>
      <c r="K6" s="18"/>
      <c r="L6" s="18">
        <f>-H6+L5</f>
        <v>-865.4109999999999</v>
      </c>
      <c r="M6" s="18"/>
      <c r="N6" s="18">
        <f>1+N5</f>
        <v>3</v>
      </c>
    </row>
    <row r="7" ht="20.05" customHeight="1">
      <c r="B7" s="31"/>
      <c r="C7" s="17">
        <f>7219.8-SUM(C4:C6)</f>
        <v>1990.11</v>
      </c>
      <c r="D7" s="18">
        <f>1347.34-SUM(D4:D6)</f>
        <v>250.09</v>
      </c>
      <c r="E7" s="18">
        <f>-2456.9-SUM(E4:E6)</f>
        <v>-789.25</v>
      </c>
      <c r="F7" s="18"/>
      <c r="G7" s="18"/>
      <c r="H7" s="18">
        <f>1244.18-SUM(H4:H6)</f>
        <v>378.769</v>
      </c>
      <c r="I7" s="18">
        <f>D7+E7</f>
        <v>-539.16</v>
      </c>
      <c r="J7" s="22"/>
      <c r="K7" s="18"/>
      <c r="L7" s="18">
        <f>-H7+L6</f>
        <v>-1244.18</v>
      </c>
      <c r="M7" s="18"/>
      <c r="N7" s="18">
        <f>1+N6</f>
        <v>4</v>
      </c>
    </row>
    <row r="8" ht="20.05" customHeight="1">
      <c r="B8" s="32">
        <v>2016</v>
      </c>
      <c r="C8" s="17">
        <v>1262</v>
      </c>
      <c r="D8" s="18">
        <v>-19.4</v>
      </c>
      <c r="E8" s="18">
        <v>-230.2</v>
      </c>
      <c r="F8" s="18"/>
      <c r="G8" s="18"/>
      <c r="H8" s="18">
        <v>-126.5</v>
      </c>
      <c r="I8" s="18">
        <f>D8+E8</f>
        <v>-249.6</v>
      </c>
      <c r="J8" s="18">
        <f>AVERAGE(I5:I8)</f>
        <v>-304.165</v>
      </c>
      <c r="K8" s="18"/>
      <c r="L8" s="18">
        <f>-H8+L7</f>
        <v>-1117.68</v>
      </c>
      <c r="M8" s="18"/>
      <c r="N8" s="18">
        <f>1+N7</f>
        <v>5</v>
      </c>
    </row>
    <row r="9" ht="20.05" customHeight="1">
      <c r="B9" s="31"/>
      <c r="C9" s="17">
        <f>3145.5-C8</f>
        <v>1883.5</v>
      </c>
      <c r="D9" s="18">
        <f>81.5-D8</f>
        <v>100.9</v>
      </c>
      <c r="E9" s="18">
        <f>-742.39-E8</f>
        <v>-512.1900000000001</v>
      </c>
      <c r="F9" s="18"/>
      <c r="G9" s="18"/>
      <c r="H9" s="18">
        <f>494.5-H8</f>
        <v>621</v>
      </c>
      <c r="I9" s="18">
        <f>D9+E9</f>
        <v>-411.29</v>
      </c>
      <c r="J9" s="18">
        <f>AVERAGE(I6:I9)</f>
        <v>-195.2775</v>
      </c>
      <c r="K9" s="18"/>
      <c r="L9" s="18">
        <f>-H9+L8</f>
        <v>-1738.68</v>
      </c>
      <c r="M9" s="18"/>
      <c r="N9" s="18">
        <f>1+N8</f>
        <v>6</v>
      </c>
    </row>
    <row r="10" ht="20.05" customHeight="1">
      <c r="B10" s="31"/>
      <c r="C10" s="17">
        <f>4517.7-SUM(C8:C9)</f>
        <v>1372.2</v>
      </c>
      <c r="D10" s="18">
        <f>17.8-SUM(D8:D9)</f>
        <v>-63.7</v>
      </c>
      <c r="E10" s="18">
        <f>-795.6-SUM(E8:E9)</f>
        <v>-53.21</v>
      </c>
      <c r="F10" s="18"/>
      <c r="G10" s="18"/>
      <c r="H10" s="18">
        <f>640.6-SUM(H8:H9)</f>
        <v>146.1</v>
      </c>
      <c r="I10" s="18">
        <f>D10+E10</f>
        <v>-116.91</v>
      </c>
      <c r="J10" s="18">
        <f>AVERAGE(I7:I10)</f>
        <v>-329.24</v>
      </c>
      <c r="K10" s="18"/>
      <c r="L10" s="18">
        <f>-H10+L9</f>
        <v>-1884.78</v>
      </c>
      <c r="M10" s="18"/>
      <c r="N10" s="18">
        <f>1+N9</f>
        <v>7</v>
      </c>
    </row>
    <row r="11" ht="20.05" customHeight="1">
      <c r="B11" s="31"/>
      <c r="C11" s="17">
        <f>6844.78-SUM(C8:C10)</f>
        <v>2327.08</v>
      </c>
      <c r="D11" s="18">
        <f>41-SUM(D8:D10)</f>
        <v>23.2</v>
      </c>
      <c r="E11" s="18">
        <f>-1053.9-SUM(E8:E10)</f>
        <v>-258.3</v>
      </c>
      <c r="F11" s="18"/>
      <c r="G11" s="18"/>
      <c r="H11" s="18">
        <f>1453.79-SUM(H8:H10)</f>
        <v>813.1900000000001</v>
      </c>
      <c r="I11" s="18">
        <f>D11+E11</f>
        <v>-235.1</v>
      </c>
      <c r="J11" s="18">
        <f>AVERAGE(I8:I11)</f>
        <v>-253.225</v>
      </c>
      <c r="K11" s="18"/>
      <c r="L11" s="18">
        <f>-H11+L10</f>
        <v>-2697.97</v>
      </c>
      <c r="M11" s="18"/>
      <c r="N11" s="18">
        <f>1+N10</f>
        <v>8</v>
      </c>
    </row>
    <row r="12" ht="20.05" customHeight="1">
      <c r="B12" s="32">
        <v>2017</v>
      </c>
      <c r="C12" s="17">
        <v>1635.2</v>
      </c>
      <c r="D12" s="18">
        <v>277.48</v>
      </c>
      <c r="E12" s="18">
        <v>-25.3</v>
      </c>
      <c r="F12" s="18"/>
      <c r="G12" s="18"/>
      <c r="H12" s="18">
        <v>-392.2</v>
      </c>
      <c r="I12" s="18">
        <f>D12+E12</f>
        <v>252.18</v>
      </c>
      <c r="J12" s="18">
        <f>AVERAGE(I9:I12)</f>
        <v>-127.78</v>
      </c>
      <c r="K12" s="18"/>
      <c r="L12" s="18">
        <f>-H12+L11</f>
        <v>-2305.77</v>
      </c>
      <c r="M12" s="18"/>
      <c r="N12" s="18">
        <f>1+N11</f>
        <v>9</v>
      </c>
    </row>
    <row r="13" ht="20.05" customHeight="1">
      <c r="B13" s="31"/>
      <c r="C13" s="17">
        <f>3593.45-C12</f>
        <v>1958.25</v>
      </c>
      <c r="D13" s="18">
        <f>287-D12</f>
        <v>9.52</v>
      </c>
      <c r="E13" s="18">
        <f>-797.43-E12</f>
        <v>-772.13</v>
      </c>
      <c r="F13" s="18"/>
      <c r="G13" s="18"/>
      <c r="H13" s="18">
        <f>262.9-H12</f>
        <v>655.1</v>
      </c>
      <c r="I13" s="18">
        <f>D13+E13</f>
        <v>-762.61</v>
      </c>
      <c r="J13" s="18">
        <f>AVERAGE(I10:I13)</f>
        <v>-215.61</v>
      </c>
      <c r="K13" s="18"/>
      <c r="L13" s="18">
        <f>-H13+L12</f>
        <v>-2960.87</v>
      </c>
      <c r="M13" s="18"/>
      <c r="N13" s="18">
        <f>1+N12</f>
        <v>10</v>
      </c>
    </row>
    <row r="14" ht="20.05" customHeight="1">
      <c r="B14" s="31"/>
      <c r="C14" s="17">
        <f>5080-SUM(C12:C13)</f>
        <v>1486.55</v>
      </c>
      <c r="D14" s="18">
        <f>333.59-SUM(D12:D13)</f>
        <v>46.59</v>
      </c>
      <c r="E14" s="18">
        <f>-1147-SUM(E12:E13)</f>
        <v>-349.57</v>
      </c>
      <c r="F14" s="18"/>
      <c r="G14" s="18"/>
      <c r="H14" s="18">
        <f>1615.9-SUM(H12:H13)</f>
        <v>1353</v>
      </c>
      <c r="I14" s="18">
        <f>D14+E14</f>
        <v>-302.98</v>
      </c>
      <c r="J14" s="18">
        <f>AVERAGE(I11:I14)</f>
        <v>-262.1275</v>
      </c>
      <c r="K14" s="18"/>
      <c r="L14" s="18">
        <f>-H14+L13</f>
        <v>-4313.87</v>
      </c>
      <c r="M14" s="18"/>
      <c r="N14" s="18">
        <f>1+N13</f>
        <v>11</v>
      </c>
    </row>
    <row r="15" ht="20.05" customHeight="1">
      <c r="B15" s="31"/>
      <c r="C15" s="17">
        <f>7025.7-SUM(C12:C14)</f>
        <v>1945.7</v>
      </c>
      <c r="D15" s="18">
        <f>472.14-SUM(D12:D14)</f>
        <v>138.55</v>
      </c>
      <c r="E15" s="18">
        <f>-1761-SUM(E12:E14)</f>
        <v>-614</v>
      </c>
      <c r="F15" s="18"/>
      <c r="G15" s="18"/>
      <c r="H15" s="18">
        <f>1050.46-SUM(H12:H14)</f>
        <v>-565.4400000000001</v>
      </c>
      <c r="I15" s="18">
        <f>D15+E15</f>
        <v>-475.45</v>
      </c>
      <c r="J15" s="18">
        <f>AVERAGE(I12:I15)</f>
        <v>-322.215</v>
      </c>
      <c r="K15" s="18"/>
      <c r="L15" s="18">
        <f>-H15+L14</f>
        <v>-3748.43</v>
      </c>
      <c r="M15" s="18"/>
      <c r="N15" s="18">
        <f>1+N14</f>
        <v>12</v>
      </c>
    </row>
    <row r="16" ht="20.05" customHeight="1">
      <c r="B16" s="32">
        <v>2018</v>
      </c>
      <c r="C16" s="17">
        <v>1645</v>
      </c>
      <c r="D16" s="18">
        <v>392.2</v>
      </c>
      <c r="E16" s="18">
        <v>-434.5</v>
      </c>
      <c r="F16" s="18"/>
      <c r="G16" s="18"/>
      <c r="H16" s="18">
        <v>187.9</v>
      </c>
      <c r="I16" s="18">
        <f>D16+E16</f>
        <v>-42.3</v>
      </c>
      <c r="J16" s="18">
        <f>AVERAGE(I13:I16)</f>
        <v>-395.835</v>
      </c>
      <c r="K16" s="18"/>
      <c r="L16" s="18">
        <f>-H16+L15</f>
        <v>-3936.33</v>
      </c>
      <c r="M16" s="18"/>
      <c r="N16" s="18">
        <f>1+N15</f>
        <v>13</v>
      </c>
    </row>
    <row r="17" ht="20.05" customHeight="1">
      <c r="B17" s="31"/>
      <c r="C17" s="17">
        <f>3241.6-C16</f>
        <v>1596.6</v>
      </c>
      <c r="D17" s="18">
        <f>146.68-D16</f>
        <v>-245.52</v>
      </c>
      <c r="E17" s="18">
        <f>-741.4-E16</f>
        <v>-306.9</v>
      </c>
      <c r="F17" s="18"/>
      <c r="G17" s="18"/>
      <c r="H17" s="18">
        <f>321.3-H16</f>
        <v>133.4</v>
      </c>
      <c r="I17" s="18">
        <f>D17+E17</f>
        <v>-552.42</v>
      </c>
      <c r="J17" s="18">
        <f>AVERAGE(I14:I17)</f>
        <v>-343.2875</v>
      </c>
      <c r="K17" s="18"/>
      <c r="L17" s="18">
        <f>-H17+L16</f>
        <v>-4069.73</v>
      </c>
      <c r="M17" s="18"/>
      <c r="N17" s="18">
        <f>1+N16</f>
        <v>14</v>
      </c>
    </row>
    <row r="18" ht="20.05" customHeight="1">
      <c r="B18" s="31"/>
      <c r="C18" s="17">
        <f>5341.5-SUM(C16:C17)</f>
        <v>2099.9</v>
      </c>
      <c r="D18" s="18">
        <f>347.2-SUM(D16:D17)</f>
        <v>200.52</v>
      </c>
      <c r="E18" s="18">
        <f>-1269-SUM(E16:E17)</f>
        <v>-527.6</v>
      </c>
      <c r="F18" s="18"/>
      <c r="G18" s="18"/>
      <c r="H18" s="18">
        <f>505-SUM(H16:H17)</f>
        <v>183.7</v>
      </c>
      <c r="I18" s="18">
        <f>D18+E18</f>
        <v>-327.08</v>
      </c>
      <c r="J18" s="18">
        <f>AVERAGE(I15:I18)</f>
        <v>-349.3125</v>
      </c>
      <c r="K18" s="18"/>
      <c r="L18" s="18">
        <f>-H18+L17</f>
        <v>-4253.43</v>
      </c>
      <c r="M18" s="18"/>
      <c r="N18" s="18">
        <f>1+N17</f>
        <v>15</v>
      </c>
    </row>
    <row r="19" ht="20.05" customHeight="1">
      <c r="B19" s="31"/>
      <c r="C19" s="17">
        <f>7901.9-SUM(C16:C18)</f>
        <v>2560.4</v>
      </c>
      <c r="D19" s="18">
        <f>1043.56-SUM(D16:D18)</f>
        <v>696.36</v>
      </c>
      <c r="E19" s="18">
        <f>-1694.3-SUM(E16:E18)</f>
        <v>-425.3</v>
      </c>
      <c r="F19" s="18"/>
      <c r="G19" s="18"/>
      <c r="H19" s="18">
        <f>653.25-SUM(H16:H18)</f>
        <v>148.25</v>
      </c>
      <c r="I19" s="18">
        <f>D19+E19</f>
        <v>271.06</v>
      </c>
      <c r="J19" s="18">
        <f>AVERAGE(I16:I19)</f>
        <v>-162.685</v>
      </c>
      <c r="K19" s="18"/>
      <c r="L19" s="18">
        <f>-H19+L18</f>
        <v>-4401.68</v>
      </c>
      <c r="M19" s="18"/>
      <c r="N19" s="18">
        <f>1+N18</f>
        <v>16</v>
      </c>
    </row>
    <row r="20" ht="20.05" customHeight="1">
      <c r="B20" s="32">
        <v>2019</v>
      </c>
      <c r="C20" s="17">
        <v>1433.7</v>
      </c>
      <c r="D20" s="18">
        <v>368.8</v>
      </c>
      <c r="E20" s="18">
        <v>-335.7</v>
      </c>
      <c r="F20" s="18"/>
      <c r="G20" s="18"/>
      <c r="H20" s="18">
        <v>160.56</v>
      </c>
      <c r="I20" s="18">
        <f>D20+E20</f>
        <v>33.1</v>
      </c>
      <c r="J20" s="18">
        <f>AVERAGE(I17:I20)</f>
        <v>-143.835</v>
      </c>
      <c r="K20" s="18"/>
      <c r="L20" s="18">
        <f>-H20+L19</f>
        <v>-4562.24</v>
      </c>
      <c r="M20" s="18"/>
      <c r="N20" s="18">
        <f>1+N19</f>
        <v>17</v>
      </c>
    </row>
    <row r="21" ht="20.05" customHeight="1">
      <c r="B21" s="31"/>
      <c r="C21" s="17">
        <f>3202.6-C20</f>
        <v>1768.9</v>
      </c>
      <c r="D21" s="18">
        <f>403.59-D20</f>
        <v>34.79</v>
      </c>
      <c r="E21" s="18">
        <f>-647-E20</f>
        <v>-311.3</v>
      </c>
      <c r="F21" s="18"/>
      <c r="G21" s="18"/>
      <c r="H21" s="18">
        <f>364-H20</f>
        <v>203.44</v>
      </c>
      <c r="I21" s="18">
        <f>D21+E21</f>
        <v>-276.51</v>
      </c>
      <c r="J21" s="18">
        <f>AVERAGE(I18:I21)</f>
        <v>-74.8575</v>
      </c>
      <c r="K21" s="18"/>
      <c r="L21" s="18">
        <f>-H21+L20</f>
        <v>-4765.68</v>
      </c>
      <c r="M21" s="18"/>
      <c r="N21" s="18">
        <f>1+N20</f>
        <v>18</v>
      </c>
    </row>
    <row r="22" ht="20.05" customHeight="1">
      <c r="B22" s="31"/>
      <c r="C22" s="17">
        <f>5103.7-SUM(C20:C21)</f>
        <v>1901.1</v>
      </c>
      <c r="D22" s="18">
        <f>657.89-SUM(D20:D21)</f>
        <v>254.3</v>
      </c>
      <c r="E22" s="18">
        <f>-980.67-SUM(E20:E21)</f>
        <v>-333.67</v>
      </c>
      <c r="F22" s="18"/>
      <c r="G22" s="18"/>
      <c r="H22" s="18">
        <f>319.3-SUM(H20:H21)</f>
        <v>-44.7</v>
      </c>
      <c r="I22" s="18">
        <f>D22+E22</f>
        <v>-79.37</v>
      </c>
      <c r="J22" s="18">
        <f>AVERAGE(I19:I22)</f>
        <v>-12.93</v>
      </c>
      <c r="K22" s="18"/>
      <c r="L22" s="18">
        <f>-H22+L21</f>
        <v>-4720.98</v>
      </c>
      <c r="M22" s="18"/>
      <c r="N22" s="18">
        <f>1+N21</f>
        <v>19</v>
      </c>
    </row>
    <row r="23" ht="20.05" customHeight="1">
      <c r="B23" s="31"/>
      <c r="C23" s="17">
        <f>7633.9-SUM(C20:C22)</f>
        <v>2530.2</v>
      </c>
      <c r="D23" s="18">
        <f>979.8-SUM(D20:D22)</f>
        <v>321.91</v>
      </c>
      <c r="E23" s="18">
        <f>-581.9-SUM(E20:E22)</f>
        <v>398.77</v>
      </c>
      <c r="F23" s="18"/>
      <c r="G23" s="18"/>
      <c r="H23" s="18">
        <f>603.54-SUM(H20:H22)</f>
        <v>284.24</v>
      </c>
      <c r="I23" s="18">
        <f>D23+E23</f>
        <v>720.6799999999999</v>
      </c>
      <c r="J23" s="18">
        <f>AVERAGE(I20:I23)</f>
        <v>99.47499999999999</v>
      </c>
      <c r="K23" s="18"/>
      <c r="L23" s="18">
        <f>-H23+L22</f>
        <v>-5005.22</v>
      </c>
      <c r="M23" s="18"/>
      <c r="N23" s="18">
        <f>1+N22</f>
        <v>20</v>
      </c>
    </row>
    <row r="24" ht="20.05" customHeight="1">
      <c r="B24" s="32">
        <v>2020</v>
      </c>
      <c r="C24" s="17">
        <v>1699.3</v>
      </c>
      <c r="D24" s="18">
        <v>312.67</v>
      </c>
      <c r="E24" s="18">
        <v>-303.2</v>
      </c>
      <c r="F24" s="18"/>
      <c r="G24" s="18"/>
      <c r="H24" s="18">
        <v>-52</v>
      </c>
      <c r="I24" s="18">
        <f>D24+E24</f>
        <v>9.470000000000001</v>
      </c>
      <c r="J24" s="18">
        <f>AVERAGE(I21:I24)</f>
        <v>93.5675</v>
      </c>
      <c r="K24" s="18"/>
      <c r="L24" s="18">
        <f>-H24+L23</f>
        <v>-4953.22</v>
      </c>
      <c r="M24" s="18"/>
      <c r="N24" s="18">
        <f>1+N23</f>
        <v>21</v>
      </c>
    </row>
    <row r="25" ht="20.05" customHeight="1">
      <c r="B25" s="31"/>
      <c r="C25" s="17">
        <f>2815-C24</f>
        <v>1115.7</v>
      </c>
      <c r="D25" s="18">
        <f>-28-D24</f>
        <v>-340.67</v>
      </c>
      <c r="E25" s="18">
        <f>-493.89-E24</f>
        <v>-190.69</v>
      </c>
      <c r="F25" s="18"/>
      <c r="G25" s="18"/>
      <c r="H25" s="18">
        <f>85-H24</f>
        <v>137</v>
      </c>
      <c r="I25" s="18">
        <f>D25+E25</f>
        <v>-531.36</v>
      </c>
      <c r="J25" s="18">
        <f>AVERAGE(I22:I25)</f>
        <v>29.855</v>
      </c>
      <c r="K25" s="18"/>
      <c r="L25" s="18">
        <f>-H25+L24</f>
        <v>-5090.22</v>
      </c>
      <c r="M25" s="18"/>
      <c r="N25" s="18">
        <f>1+N24</f>
        <v>22</v>
      </c>
    </row>
    <row r="26" ht="20.05" customHeight="1">
      <c r="B26" s="31"/>
      <c r="C26" s="17">
        <f>4832-SUM(C24:C25)</f>
        <v>2017</v>
      </c>
      <c r="D26" s="18">
        <f>632-SUM(D24:D25)</f>
        <v>660</v>
      </c>
      <c r="E26" s="18">
        <f>-698-SUM(E24:E25)</f>
        <v>-204.11</v>
      </c>
      <c r="F26" s="18"/>
      <c r="G26" s="18"/>
      <c r="H26" s="18">
        <f>194-SUM(H24:H25)</f>
        <v>109</v>
      </c>
      <c r="I26" s="18">
        <f>D26+E26</f>
        <v>455.89</v>
      </c>
      <c r="J26" s="18">
        <f>AVERAGE(I23:I26)</f>
        <v>163.67</v>
      </c>
      <c r="K26" s="18"/>
      <c r="L26" s="18">
        <f>-H26+L25</f>
        <v>-5199.22</v>
      </c>
      <c r="M26" s="18"/>
      <c r="N26" s="18">
        <f>1+N25</f>
        <v>23</v>
      </c>
    </row>
    <row r="27" ht="20.05" customHeight="1">
      <c r="B27" s="31"/>
      <c r="C27" s="17">
        <f>7096.1-SUM(C24:C26)</f>
        <v>2264.1</v>
      </c>
      <c r="D27" s="18">
        <f>1213.7-SUM(D24:D26)</f>
        <v>581.7</v>
      </c>
      <c r="E27" s="18">
        <f>-838.4-SUM(E24:E26)</f>
        <v>-140.4</v>
      </c>
      <c r="F27" s="18"/>
      <c r="G27" s="18"/>
      <c r="H27" s="18">
        <f>658.3-SUM(H24:H26)</f>
        <v>464.3</v>
      </c>
      <c r="I27" s="18">
        <f>D27+E27</f>
        <v>441.3</v>
      </c>
      <c r="J27" s="18">
        <f>AVERAGE(I24:I27)</f>
        <v>93.825</v>
      </c>
      <c r="K27" s="18"/>
      <c r="L27" s="18">
        <f>-H27+L26</f>
        <v>-5663.52</v>
      </c>
      <c r="M27" s="18"/>
      <c r="N27" s="18">
        <f>1+N26</f>
        <v>24</v>
      </c>
    </row>
    <row r="28" ht="20.05" customHeight="1">
      <c r="B28" s="32">
        <v>2021</v>
      </c>
      <c r="C28" s="17">
        <v>2010.8</v>
      </c>
      <c r="D28" s="18">
        <v>851.9</v>
      </c>
      <c r="E28" s="18">
        <v>-220</v>
      </c>
      <c r="F28" s="18">
        <f>-275.474-G28</f>
        <v>-283.274</v>
      </c>
      <c r="G28" s="18">
        <f>9.8-2</f>
        <v>7.8</v>
      </c>
      <c r="H28" s="18">
        <f>-275.5</f>
        <v>-275.5</v>
      </c>
      <c r="I28" s="18">
        <f>D28+E28</f>
        <v>631.9</v>
      </c>
      <c r="J28" s="18">
        <f>AVERAGE(I25:I28)</f>
        <v>249.4325</v>
      </c>
      <c r="K28" s="18"/>
      <c r="L28" s="18">
        <f>-(F28+G28)+L27</f>
        <v>-5388.046</v>
      </c>
      <c r="M28" s="18"/>
      <c r="N28" s="18">
        <f>1+N27</f>
        <v>25</v>
      </c>
    </row>
    <row r="29" ht="20.05" customHeight="1">
      <c r="B29" s="31"/>
      <c r="C29" s="17">
        <f>4478-C28</f>
        <v>2467.2</v>
      </c>
      <c r="D29" s="18">
        <f>1994.2-D28</f>
        <v>1142.3</v>
      </c>
      <c r="E29" s="18">
        <f>-423.7-E28</f>
        <v>-203.7</v>
      </c>
      <c r="F29" s="18">
        <f>-466.483-F28-G29-G28</f>
        <v>-162.509</v>
      </c>
      <c r="G29" s="18">
        <f>9.9-4-G28-26.6</f>
        <v>-28.5</v>
      </c>
      <c r="H29" s="18">
        <f>-466.5-H28</f>
        <v>-191</v>
      </c>
      <c r="I29" s="18">
        <f>D29+E29</f>
        <v>938.6</v>
      </c>
      <c r="J29" s="18">
        <f>AVERAGE(I26:I29)</f>
        <v>616.9225</v>
      </c>
      <c r="K29" s="18"/>
      <c r="L29" s="18">
        <f>-(F29+G29)+L28</f>
        <v>-5197.037</v>
      </c>
      <c r="M29" s="18"/>
      <c r="N29" s="18">
        <f>1+N28</f>
        <v>26</v>
      </c>
    </row>
    <row r="30" ht="20.05" customHeight="1">
      <c r="B30" s="31"/>
      <c r="C30" s="17">
        <f>6322.4-SUM(C28:C29)</f>
        <v>1844.4</v>
      </c>
      <c r="D30" s="18">
        <f>2497.3-SUM(D28:D29)</f>
        <v>503.1</v>
      </c>
      <c r="E30" s="18">
        <f>-554.6-SUM(E28:E29)</f>
        <v>-130.9</v>
      </c>
      <c r="F30" s="18">
        <f>-691-F29-F28-G30-G29-G28</f>
        <v>-50.421</v>
      </c>
      <c r="G30" s="18">
        <f>-54.567+25.166-8-157.395-G29-G28</f>
        <v>-174.096</v>
      </c>
      <c r="H30" s="18">
        <f>-691-SUM(H28:H29)</f>
        <v>-224.5</v>
      </c>
      <c r="I30" s="18">
        <f>D30+E30</f>
        <v>372.2</v>
      </c>
      <c r="J30" s="18">
        <f>AVERAGE(I27:I30)</f>
        <v>596</v>
      </c>
      <c r="K30" s="18"/>
      <c r="L30" s="18">
        <f>-(F30+G30)+L29</f>
        <v>-4972.52</v>
      </c>
      <c r="M30" s="18"/>
      <c r="N30" s="18">
        <f>1+N29</f>
        <v>27</v>
      </c>
    </row>
    <row r="31" ht="20.05" customHeight="1">
      <c r="B31" s="31"/>
      <c r="C31" s="17">
        <f>9082.8-SUM(C28:C30)</f>
        <v>2760.4</v>
      </c>
      <c r="D31" s="18">
        <f>3647.3-SUM(D28:D30)</f>
        <v>1150</v>
      </c>
      <c r="E31" s="18">
        <f>-1100-SUM(E28:E30)</f>
        <v>-545.4</v>
      </c>
      <c r="F31" s="18">
        <f>H31-G31</f>
        <v>30.104</v>
      </c>
      <c r="G31" s="18">
        <f>-157.6-79.1+45.6-21.1-SUM(G28:G30)</f>
        <v>-17.404</v>
      </c>
      <c r="H31" s="18">
        <f>-678.3-SUM(H28:H30)</f>
        <v>12.7</v>
      </c>
      <c r="I31" s="18">
        <f>D31+E31</f>
        <v>604.6</v>
      </c>
      <c r="J31" s="18">
        <f>AVERAGE(I28:I31)</f>
        <v>636.825</v>
      </c>
      <c r="K31" s="18"/>
      <c r="L31" s="18">
        <f>-(F31+G31)+L30</f>
        <v>-4985.22</v>
      </c>
      <c r="M31" s="18"/>
      <c r="N31" s="18">
        <f>1+N30</f>
        <v>28</v>
      </c>
    </row>
    <row r="32" ht="20.05" customHeight="1">
      <c r="B32" s="32">
        <v>2023</v>
      </c>
      <c r="C32" s="17">
        <v>2601.2</v>
      </c>
      <c r="D32" s="18">
        <v>1334.8</v>
      </c>
      <c r="E32" s="18">
        <v>-215.1</v>
      </c>
      <c r="F32" s="18">
        <f>H32-G32</f>
        <v>-872</v>
      </c>
      <c r="G32" s="18">
        <v>-6</v>
      </c>
      <c r="H32" s="18">
        <v>-878</v>
      </c>
      <c r="I32" s="18">
        <f>D32+E32</f>
        <v>1119.7</v>
      </c>
      <c r="J32" s="18">
        <f>AVERAGE(I29:I32)</f>
        <v>758.775</v>
      </c>
      <c r="K32" s="18">
        <v>562.874682842480</v>
      </c>
      <c r="L32" s="18">
        <f>-(F32+G32)+L31</f>
        <v>-4107.22</v>
      </c>
      <c r="M32" s="18">
        <v>-3413.715432722070</v>
      </c>
      <c r="N32" s="18">
        <f>1+N31</f>
        <v>29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23"/>
      <c r="K33" s="18">
        <f>SUM('Model'!F8:F9)</f>
        <v>457.393972593490</v>
      </c>
      <c r="L33" s="23"/>
      <c r="M33" s="18">
        <f>'Model'!F32</f>
        <v>-2115.501294099560</v>
      </c>
      <c r="N33" s="18"/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05469" style="35" customWidth="1"/>
    <col min="3" max="11" width="11.1875" style="35" customWidth="1"/>
    <col min="12" max="16384" width="16.3516" style="35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52</v>
      </c>
      <c r="J3" t="s" s="5">
        <v>28</v>
      </c>
      <c r="K3" t="s" s="5">
        <v>36</v>
      </c>
    </row>
    <row r="4" ht="20.25" customHeight="1">
      <c r="B4" s="26">
        <v>2015</v>
      </c>
      <c r="C4" s="36">
        <v>3394</v>
      </c>
      <c r="D4" s="37">
        <v>24115</v>
      </c>
      <c r="E4" s="37">
        <f>D4-C4</f>
        <v>20721</v>
      </c>
      <c r="F4" s="37">
        <f>477+653</f>
        <v>1130</v>
      </c>
      <c r="G4" s="37">
        <v>12321</v>
      </c>
      <c r="H4" s="37">
        <v>11794</v>
      </c>
      <c r="I4" s="37">
        <f>G4+H4-C4-E4</f>
        <v>0</v>
      </c>
      <c r="J4" s="29">
        <f>C4-G4</f>
        <v>-8927</v>
      </c>
      <c r="K4" s="29"/>
    </row>
    <row r="5" ht="20.05" customHeight="1">
      <c r="B5" s="31"/>
      <c r="C5" s="38">
        <v>2730</v>
      </c>
      <c r="D5" s="39">
        <v>24577</v>
      </c>
      <c r="E5" s="39">
        <f>D5-C5</f>
        <v>21847</v>
      </c>
      <c r="F5" s="39">
        <f>505+677</f>
        <v>1182</v>
      </c>
      <c r="G5" s="39">
        <v>12748</v>
      </c>
      <c r="H5" s="39">
        <v>11829</v>
      </c>
      <c r="I5" s="39">
        <f>G5+H5-C5-E5</f>
        <v>0</v>
      </c>
      <c r="J5" s="18">
        <f>C5-G5</f>
        <v>-10018</v>
      </c>
      <c r="K5" s="18"/>
    </row>
    <row r="6" ht="20.05" customHeight="1">
      <c r="B6" s="31"/>
      <c r="C6" s="38">
        <v>3197</v>
      </c>
      <c r="D6" s="39">
        <v>25153</v>
      </c>
      <c r="E6" s="39">
        <f>D6-C6</f>
        <v>21956</v>
      </c>
      <c r="F6" s="39">
        <f>533+705</f>
        <v>1238</v>
      </c>
      <c r="G6" s="39">
        <v>12869</v>
      </c>
      <c r="H6" s="39">
        <v>12284</v>
      </c>
      <c r="I6" s="39">
        <f>G6+H6-C6-E6</f>
        <v>0</v>
      </c>
      <c r="J6" s="18">
        <f>C6-G6</f>
        <v>-9672</v>
      </c>
      <c r="K6" s="18"/>
    </row>
    <row r="7" ht="20.05" customHeight="1">
      <c r="B7" s="31"/>
      <c r="C7" s="38">
        <v>3034</v>
      </c>
      <c r="D7" s="39">
        <v>26259</v>
      </c>
      <c r="E7" s="39">
        <f>D7-C7</f>
        <v>23225</v>
      </c>
      <c r="F7" s="39">
        <f>558+742</f>
        <v>1300</v>
      </c>
      <c r="G7" s="39">
        <v>13209</v>
      </c>
      <c r="H7" s="39">
        <v>13050</v>
      </c>
      <c r="I7" s="39">
        <f>G7+H7-C7-E7</f>
        <v>0</v>
      </c>
      <c r="J7" s="18">
        <f>C7-G7</f>
        <v>-10175</v>
      </c>
      <c r="K7" s="18"/>
    </row>
    <row r="8" ht="20.05" customHeight="1">
      <c r="B8" s="32">
        <v>2016</v>
      </c>
      <c r="C8" s="38">
        <v>2653</v>
      </c>
      <c r="D8" s="39">
        <v>26164</v>
      </c>
      <c r="E8" s="39">
        <f>D8-C8</f>
        <v>23511</v>
      </c>
      <c r="F8" s="39">
        <f>590+779</f>
        <v>1369</v>
      </c>
      <c r="G8" s="39">
        <v>12937</v>
      </c>
      <c r="H8" s="39">
        <v>13227</v>
      </c>
      <c r="I8" s="39">
        <f>G8+H8-C8-E8</f>
        <v>0</v>
      </c>
      <c r="J8" s="18">
        <f>C8-G8</f>
        <v>-10284</v>
      </c>
      <c r="K8" s="18"/>
    </row>
    <row r="9" ht="20.05" customHeight="1">
      <c r="B9" s="31"/>
      <c r="C9" s="38">
        <v>2866</v>
      </c>
      <c r="D9" s="39">
        <v>27282</v>
      </c>
      <c r="E9" s="39">
        <f>D9-C9</f>
        <v>24416</v>
      </c>
      <c r="F9" s="39">
        <f>610+813</f>
        <v>1423</v>
      </c>
      <c r="G9" s="39">
        <v>14007</v>
      </c>
      <c r="H9" s="39">
        <v>13275</v>
      </c>
      <c r="I9" s="39">
        <f>G9+H9-C9-E9</f>
        <v>0</v>
      </c>
      <c r="J9" s="18">
        <f>C9-G9</f>
        <v>-11141</v>
      </c>
      <c r="K9" s="18"/>
    </row>
    <row r="10" ht="20.05" customHeight="1">
      <c r="B10" s="31"/>
      <c r="C10" s="38">
        <v>2892</v>
      </c>
      <c r="D10" s="39">
        <v>27403</v>
      </c>
      <c r="E10" s="39">
        <f>D10-C10</f>
        <v>24511</v>
      </c>
      <c r="F10" s="39">
        <f>639+851</f>
        <v>1490</v>
      </c>
      <c r="G10" s="39">
        <v>13865</v>
      </c>
      <c r="H10" s="39">
        <v>13538</v>
      </c>
      <c r="I10" s="39">
        <f>G10+H10-C10-E10</f>
        <v>0</v>
      </c>
      <c r="J10" s="18">
        <f>C10-G10</f>
        <v>-10973</v>
      </c>
      <c r="K10" s="18"/>
    </row>
    <row r="11" ht="20.05" customHeight="1">
      <c r="B11" s="31"/>
      <c r="C11" s="38">
        <v>3471</v>
      </c>
      <c r="D11" s="39">
        <v>29169</v>
      </c>
      <c r="E11" s="39">
        <f>D11-C11</f>
        <v>25698</v>
      </c>
      <c r="F11" s="39">
        <f>662+880</f>
        <v>1542</v>
      </c>
      <c r="G11" s="39">
        <v>14787</v>
      </c>
      <c r="H11" s="39">
        <v>14382</v>
      </c>
      <c r="I11" s="39">
        <f>G11+H11-C11-E11</f>
        <v>0</v>
      </c>
      <c r="J11" s="18">
        <f>C11-G11</f>
        <v>-11316</v>
      </c>
      <c r="K11" s="18"/>
    </row>
    <row r="12" ht="20.05" customHeight="1">
      <c r="B12" s="32">
        <v>2017</v>
      </c>
      <c r="C12" s="38">
        <v>3325</v>
      </c>
      <c r="D12" s="39">
        <v>29147</v>
      </c>
      <c r="E12" s="39">
        <f>D12-C12</f>
        <v>25822</v>
      </c>
      <c r="F12" s="39">
        <f>926+692</f>
        <v>1618</v>
      </c>
      <c r="G12" s="39">
        <v>14661</v>
      </c>
      <c r="H12" s="39">
        <v>14486</v>
      </c>
      <c r="I12" s="39">
        <f>G12+H12-C12-E12</f>
        <v>0</v>
      </c>
      <c r="J12" s="18">
        <f>C12-G12</f>
        <v>-11336</v>
      </c>
      <c r="K12" s="18"/>
    </row>
    <row r="13" ht="20.05" customHeight="1">
      <c r="B13" s="31"/>
      <c r="C13" s="38">
        <v>3222</v>
      </c>
      <c r="D13" s="39">
        <v>30561</v>
      </c>
      <c r="E13" s="39">
        <f>D13-C13</f>
        <v>27339</v>
      </c>
      <c r="F13" s="39">
        <f>715+964</f>
        <v>1679</v>
      </c>
      <c r="G13" s="39">
        <v>15858</v>
      </c>
      <c r="H13" s="39">
        <v>14703</v>
      </c>
      <c r="I13" s="39">
        <f>G13+H13-C13-E13</f>
        <v>0</v>
      </c>
      <c r="J13" s="18">
        <f>C13-G13</f>
        <v>-12636</v>
      </c>
      <c r="K13" s="18"/>
    </row>
    <row r="14" ht="20.05" customHeight="1">
      <c r="B14" s="31"/>
      <c r="C14" s="38">
        <v>4272</v>
      </c>
      <c r="D14" s="39">
        <v>32072</v>
      </c>
      <c r="E14" s="39">
        <f>D14-C14</f>
        <v>27800</v>
      </c>
      <c r="F14" s="39">
        <f>746+1009</f>
        <v>1755</v>
      </c>
      <c r="G14" s="39">
        <v>17117</v>
      </c>
      <c r="H14" s="39">
        <v>14955</v>
      </c>
      <c r="I14" s="39">
        <f>G14+H14-C14-E14</f>
        <v>0</v>
      </c>
      <c r="J14" s="18">
        <f>C14-G14</f>
        <v>-12845</v>
      </c>
      <c r="K14" s="18"/>
    </row>
    <row r="15" ht="20.05" customHeight="1">
      <c r="B15" s="31"/>
      <c r="C15" s="38">
        <v>3239</v>
      </c>
      <c r="D15" s="39">
        <v>31873</v>
      </c>
      <c r="E15" s="39">
        <f>D15-C15</f>
        <v>28634</v>
      </c>
      <c r="F15" s="39">
        <f>751+1054</f>
        <v>1805</v>
      </c>
      <c r="G15" s="39">
        <v>16322</v>
      </c>
      <c r="H15" s="39">
        <v>15551</v>
      </c>
      <c r="I15" s="39">
        <f>G15+H15-C15-E15</f>
        <v>0</v>
      </c>
      <c r="J15" s="18">
        <f>C15-G15</f>
        <v>-13083</v>
      </c>
      <c r="K15" s="18"/>
    </row>
    <row r="16" ht="20.05" customHeight="1">
      <c r="B16" s="32">
        <v>2018</v>
      </c>
      <c r="C16" s="38">
        <v>3379</v>
      </c>
      <c r="D16" s="39">
        <v>32290</v>
      </c>
      <c r="E16" s="39">
        <f>D16-C16</f>
        <v>28911</v>
      </c>
      <c r="F16" s="39">
        <f>799+1109</f>
        <v>1908</v>
      </c>
      <c r="G16" s="39">
        <v>16717</v>
      </c>
      <c r="H16" s="39">
        <v>15573</v>
      </c>
      <c r="I16" s="39">
        <f>G16+H16-C16-E16</f>
        <v>0</v>
      </c>
      <c r="J16" s="18">
        <f>C16-G16</f>
        <v>-13338</v>
      </c>
      <c r="K16" s="18"/>
    </row>
    <row r="17" ht="20.05" customHeight="1">
      <c r="B17" s="31"/>
      <c r="C17" s="38">
        <v>2986</v>
      </c>
      <c r="D17" s="39">
        <v>32881</v>
      </c>
      <c r="E17" s="39">
        <f>D17-C17</f>
        <v>29895</v>
      </c>
      <c r="F17" s="39">
        <f>830+1153</f>
        <v>1983</v>
      </c>
      <c r="G17" s="39">
        <v>17419</v>
      </c>
      <c r="H17" s="39">
        <v>15462</v>
      </c>
      <c r="I17" s="39">
        <f>G17+H17-C17-E17</f>
        <v>0</v>
      </c>
      <c r="J17" s="18">
        <f>C17-G17</f>
        <v>-14433</v>
      </c>
      <c r="K17" s="18"/>
    </row>
    <row r="18" ht="20.05" customHeight="1">
      <c r="B18" s="31"/>
      <c r="C18" s="38">
        <v>2845</v>
      </c>
      <c r="D18" s="39">
        <v>33610</v>
      </c>
      <c r="E18" s="39">
        <f>D18-C18</f>
        <v>30765</v>
      </c>
      <c r="F18" s="39">
        <f>859+1195</f>
        <v>2054</v>
      </c>
      <c r="G18" s="39">
        <v>17633</v>
      </c>
      <c r="H18" s="39">
        <v>15977</v>
      </c>
      <c r="I18" s="39">
        <f>G18+H18-C18-E18</f>
        <v>0</v>
      </c>
      <c r="J18" s="18">
        <f>C18-G18</f>
        <v>-14788</v>
      </c>
      <c r="K18" s="18"/>
    </row>
    <row r="19" ht="20.05" customHeight="1">
      <c r="B19" s="31"/>
      <c r="C19" s="38">
        <v>3243</v>
      </c>
      <c r="D19" s="39">
        <v>34289</v>
      </c>
      <c r="E19" s="39">
        <f>D19-C19</f>
        <v>31046</v>
      </c>
      <c r="F19" s="39">
        <f>883+1232</f>
        <v>2115</v>
      </c>
      <c r="G19" s="39">
        <v>17645</v>
      </c>
      <c r="H19" s="39">
        <v>16644</v>
      </c>
      <c r="I19" s="39">
        <f>G19+H19-C19-E19</f>
        <v>0</v>
      </c>
      <c r="J19" s="18">
        <f>C19-G19</f>
        <v>-14402</v>
      </c>
      <c r="K19" s="18"/>
    </row>
    <row r="20" ht="20.05" customHeight="1">
      <c r="B20" s="32">
        <v>2019</v>
      </c>
      <c r="C20" s="38">
        <v>3435</v>
      </c>
      <c r="D20" s="39">
        <v>34446</v>
      </c>
      <c r="E20" s="39">
        <f>D20-C20</f>
        <v>31011</v>
      </c>
      <c r="F20" s="39">
        <f>923+1275</f>
        <v>2198</v>
      </c>
      <c r="G20" s="39">
        <v>17475</v>
      </c>
      <c r="H20" s="39">
        <v>16971</v>
      </c>
      <c r="I20" s="39">
        <f>G20+H20-C20-E20</f>
        <v>0</v>
      </c>
      <c r="J20" s="18">
        <f>C20-G20</f>
        <v>-14040</v>
      </c>
      <c r="K20" s="18"/>
    </row>
    <row r="21" ht="20.05" customHeight="1">
      <c r="B21" s="31"/>
      <c r="C21" s="38">
        <v>3362</v>
      </c>
      <c r="D21" s="39">
        <v>35076</v>
      </c>
      <c r="E21" s="39">
        <f>D21-C21</f>
        <v>31714</v>
      </c>
      <c r="F21" s="39">
        <f>953+1318</f>
        <v>2271</v>
      </c>
      <c r="G21" s="39">
        <v>18289</v>
      </c>
      <c r="H21" s="39">
        <v>16787</v>
      </c>
      <c r="I21" s="39">
        <f>G21+H21-C21-E21</f>
        <v>0</v>
      </c>
      <c r="J21" s="18">
        <f>C21-G21</f>
        <v>-14927</v>
      </c>
      <c r="K21" s="18"/>
    </row>
    <row r="22" ht="20.05" customHeight="1">
      <c r="B22" s="31"/>
      <c r="C22" s="38">
        <v>3237</v>
      </c>
      <c r="D22" s="39">
        <v>35494</v>
      </c>
      <c r="E22" s="39">
        <f>D22-C22</f>
        <v>32257</v>
      </c>
      <c r="F22" s="39">
        <f>984+1359</f>
        <v>2343</v>
      </c>
      <c r="G22" s="39">
        <v>18529</v>
      </c>
      <c r="H22" s="39">
        <v>16965</v>
      </c>
      <c r="I22" s="39">
        <f>G22+H22-C22-E22</f>
        <v>0</v>
      </c>
      <c r="J22" s="18">
        <f>C22-G22</f>
        <v>-15292</v>
      </c>
      <c r="K22" s="18"/>
    </row>
    <row r="23" ht="20.05" customHeight="1">
      <c r="B23" s="31"/>
      <c r="C23" s="38">
        <v>4238</v>
      </c>
      <c r="D23" s="39">
        <v>36196</v>
      </c>
      <c r="E23" s="39">
        <f>D23-C23</f>
        <v>31958</v>
      </c>
      <c r="F23" s="39">
        <f>1007+1396</f>
        <v>2403</v>
      </c>
      <c r="G23" s="39">
        <v>18435</v>
      </c>
      <c r="H23" s="39">
        <v>17761</v>
      </c>
      <c r="I23" s="39">
        <f>G23+H23-C23-E23</f>
        <v>0</v>
      </c>
      <c r="J23" s="18">
        <f>C23-G23</f>
        <v>-14197</v>
      </c>
      <c r="K23" s="18"/>
    </row>
    <row r="24" ht="20.05" customHeight="1">
      <c r="B24" s="32">
        <v>2020</v>
      </c>
      <c r="C24" s="38">
        <v>4243</v>
      </c>
      <c r="D24" s="39">
        <v>37870</v>
      </c>
      <c r="E24" s="39">
        <f>D24-C24</f>
        <v>33627</v>
      </c>
      <c r="F24" s="39">
        <f>1048+1435</f>
        <v>2483</v>
      </c>
      <c r="G24" s="39">
        <v>20960</v>
      </c>
      <c r="H24" s="39">
        <v>16910</v>
      </c>
      <c r="I24" s="39">
        <f>G24+H24-C24-E24</f>
        <v>0</v>
      </c>
      <c r="J24" s="18">
        <f>C24-G24</f>
        <v>-16717</v>
      </c>
      <c r="K24" s="18"/>
    </row>
    <row r="25" ht="20.05" customHeight="1">
      <c r="B25" s="31"/>
      <c r="C25" s="38">
        <v>3810</v>
      </c>
      <c r="D25" s="18">
        <v>37884</v>
      </c>
      <c r="E25" s="39">
        <f>D25-C25</f>
        <v>34074</v>
      </c>
      <c r="F25" s="18">
        <f>1080+1475</f>
        <v>2555</v>
      </c>
      <c r="G25" s="39">
        <v>20841</v>
      </c>
      <c r="H25" s="39">
        <v>17043</v>
      </c>
      <c r="I25" s="39">
        <f>G25+H25-C25-E25</f>
        <v>0</v>
      </c>
      <c r="J25" s="18">
        <f>C25-G25</f>
        <v>-17031</v>
      </c>
      <c r="K25" s="22"/>
    </row>
    <row r="26" ht="20.05" customHeight="1">
      <c r="B26" s="31"/>
      <c r="C26" s="38">
        <v>4385</v>
      </c>
      <c r="D26" s="18">
        <v>38784</v>
      </c>
      <c r="E26" s="39">
        <f>D26-C26</f>
        <v>34399</v>
      </c>
      <c r="F26" s="18">
        <f>1116+1396</f>
        <v>2512</v>
      </c>
      <c r="G26" s="39">
        <v>21920</v>
      </c>
      <c r="H26" s="39">
        <v>16864</v>
      </c>
      <c r="I26" s="39">
        <f>G26+H26-C26-E26</f>
        <v>0</v>
      </c>
      <c r="J26" s="18">
        <f>C26-G26</f>
        <v>-17535</v>
      </c>
      <c r="K26" s="18"/>
    </row>
    <row r="27" ht="20.05" customHeight="1">
      <c r="B27" s="31"/>
      <c r="C27" s="17">
        <v>5276</v>
      </c>
      <c r="D27" s="18">
        <v>39255</v>
      </c>
      <c r="E27" s="39">
        <f>D27-C27</f>
        <v>33979</v>
      </c>
      <c r="F27" s="18">
        <f>1152+1519</f>
        <v>2671</v>
      </c>
      <c r="G27" s="39">
        <v>21797</v>
      </c>
      <c r="H27" s="39">
        <v>17458</v>
      </c>
      <c r="I27" s="39">
        <f>G27+H27-C27-E27</f>
        <v>0</v>
      </c>
      <c r="J27" s="18">
        <f>C27-G27</f>
        <v>-16521</v>
      </c>
      <c r="K27" s="22"/>
    </row>
    <row r="28" ht="20.05" customHeight="1">
      <c r="B28" s="32">
        <v>2021</v>
      </c>
      <c r="C28" s="17">
        <v>5641</v>
      </c>
      <c r="D28" s="18">
        <v>39512</v>
      </c>
      <c r="E28" s="39">
        <f>D28-C28</f>
        <v>33871</v>
      </c>
      <c r="F28" s="18">
        <f>1188+1551</f>
        <v>2739</v>
      </c>
      <c r="G28" s="39">
        <v>21718</v>
      </c>
      <c r="H28" s="39">
        <v>17794</v>
      </c>
      <c r="I28" s="39">
        <f>G28+H28-C28-E28</f>
        <v>0</v>
      </c>
      <c r="J28" s="18">
        <f>C28-G28</f>
        <v>-16077</v>
      </c>
      <c r="K28" s="18"/>
    </row>
    <row r="29" ht="20.05" customHeight="1">
      <c r="B29" s="31"/>
      <c r="C29" s="17">
        <v>6385</v>
      </c>
      <c r="D29" s="18">
        <v>40366</v>
      </c>
      <c r="E29" s="39">
        <f>D29-C29</f>
        <v>33981</v>
      </c>
      <c r="F29" s="18">
        <f>1224+1589</f>
        <v>2813</v>
      </c>
      <c r="G29" s="39">
        <v>22274</v>
      </c>
      <c r="H29" s="39">
        <v>18092</v>
      </c>
      <c r="I29" s="39">
        <f>G29+H29-C29-E29</f>
        <v>0</v>
      </c>
      <c r="J29" s="18">
        <f>C29-G29</f>
        <v>-15889</v>
      </c>
      <c r="K29" s="18"/>
    </row>
    <row r="30" ht="20.05" customHeight="1">
      <c r="B30" s="31"/>
      <c r="C30" s="17">
        <v>6530</v>
      </c>
      <c r="D30" s="18">
        <v>40054</v>
      </c>
      <c r="E30" s="39">
        <f>D30-C30</f>
        <v>33524</v>
      </c>
      <c r="F30" s="18">
        <f>1629+1259</f>
        <v>2888</v>
      </c>
      <c r="G30" s="39">
        <v>21475</v>
      </c>
      <c r="H30" s="39">
        <v>18579</v>
      </c>
      <c r="I30" s="39">
        <f>G30+H30-C30-E30</f>
        <v>0</v>
      </c>
      <c r="J30" s="18">
        <f>C30-G30</f>
        <v>-14945</v>
      </c>
      <c r="K30" s="18"/>
    </row>
    <row r="31" ht="20.05" customHeight="1">
      <c r="B31" s="31"/>
      <c r="C31" s="17">
        <v>7162</v>
      </c>
      <c r="D31" s="18">
        <v>40668</v>
      </c>
      <c r="E31" s="39">
        <f>D31-C31</f>
        <v>33506</v>
      </c>
      <c r="F31" s="18">
        <f>1299+1648</f>
        <v>2947</v>
      </c>
      <c r="G31" s="39">
        <v>21274</v>
      </c>
      <c r="H31" s="39">
        <v>19394</v>
      </c>
      <c r="I31" s="39">
        <f>G31+H31-C31-E31</f>
        <v>0</v>
      </c>
      <c r="J31" s="18">
        <f>C31-G31</f>
        <v>-14112</v>
      </c>
      <c r="K31" s="18"/>
    </row>
    <row r="32" ht="20.05" customHeight="1">
      <c r="B32" s="32">
        <v>2022</v>
      </c>
      <c r="C32" s="17">
        <v>7404</v>
      </c>
      <c r="D32" s="18">
        <v>40818</v>
      </c>
      <c r="E32" s="39">
        <f>D32-C32</f>
        <v>33414</v>
      </c>
      <c r="F32" s="18">
        <f>1342+1682</f>
        <v>3024</v>
      </c>
      <c r="G32" s="39">
        <v>20976</v>
      </c>
      <c r="H32" s="39">
        <v>19842</v>
      </c>
      <c r="I32" s="39">
        <f>G32+H32-C32-E32</f>
        <v>0</v>
      </c>
      <c r="J32" s="18">
        <f>C32-G32</f>
        <v>-13572</v>
      </c>
      <c r="K32" s="18">
        <v>-12540.4954327221</v>
      </c>
    </row>
    <row r="33" ht="20.05" customHeight="1">
      <c r="B33" s="31"/>
      <c r="C33" s="17"/>
      <c r="D33" s="18"/>
      <c r="E33" s="39"/>
      <c r="F33" s="18"/>
      <c r="G33" s="39"/>
      <c r="H33" s="39"/>
      <c r="I33" s="39"/>
      <c r="J33" s="18"/>
      <c r="K33" s="18">
        <f>'Model'!F30</f>
        <v>-11580.2812940996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40" customWidth="1"/>
    <col min="2" max="5" width="11.0547" style="40" customWidth="1"/>
    <col min="6" max="16384" width="16.3516" style="40" customWidth="1"/>
  </cols>
  <sheetData>
    <row r="1" ht="40" customHeight="1"/>
    <row r="2" ht="27.65" customHeight="1">
      <c r="B2" t="s" s="2">
        <v>53</v>
      </c>
      <c r="C2" s="2"/>
      <c r="D2" s="2"/>
      <c r="E2" s="2"/>
    </row>
    <row r="3" ht="20.25" customHeight="1">
      <c r="B3" s="4"/>
      <c r="C3" t="s" s="3">
        <v>54</v>
      </c>
      <c r="D3" t="s" s="3">
        <v>39</v>
      </c>
      <c r="E3" t="s" s="3">
        <v>55</v>
      </c>
    </row>
    <row r="4" ht="20.25" customHeight="1">
      <c r="B4" s="26">
        <v>2014</v>
      </c>
      <c r="C4" s="27">
        <v>1148</v>
      </c>
      <c r="D4" s="41"/>
      <c r="E4" s="41"/>
    </row>
    <row r="5" ht="20.05" customHeight="1">
      <c r="B5" s="31"/>
      <c r="C5" s="42">
        <v>915</v>
      </c>
      <c r="D5" s="43"/>
      <c r="E5" s="43"/>
    </row>
    <row r="6" ht="20.05" customHeight="1">
      <c r="B6" s="31"/>
      <c r="C6" s="17">
        <v>1004</v>
      </c>
      <c r="D6" s="43"/>
      <c r="E6" s="43"/>
    </row>
    <row r="7" ht="20.05" customHeight="1">
      <c r="B7" s="31"/>
      <c r="C7" s="17">
        <v>1237</v>
      </c>
      <c r="D7" s="43"/>
      <c r="E7" s="43"/>
    </row>
    <row r="8" ht="20.05" customHeight="1">
      <c r="B8" s="32">
        <v>2015</v>
      </c>
      <c r="C8" s="17">
        <v>1459</v>
      </c>
      <c r="D8" s="43"/>
      <c r="E8" s="43"/>
    </row>
    <row r="9" ht="20.05" customHeight="1">
      <c r="B9" s="31"/>
      <c r="C9" s="17">
        <v>1251</v>
      </c>
      <c r="D9" s="43"/>
      <c r="E9" s="43"/>
    </row>
    <row r="10" ht="20.05" customHeight="1">
      <c r="B10" s="31"/>
      <c r="C10" s="42">
        <v>815</v>
      </c>
      <c r="D10" s="43"/>
      <c r="E10" s="43"/>
    </row>
    <row r="11" ht="20.05" customHeight="1">
      <c r="B11" s="31"/>
      <c r="C11" s="17">
        <v>1460</v>
      </c>
      <c r="D11" s="43"/>
      <c r="E11" s="43"/>
    </row>
    <row r="12" ht="20.05" customHeight="1">
      <c r="B12" s="32">
        <v>2016</v>
      </c>
      <c r="C12" s="17">
        <v>1305</v>
      </c>
      <c r="D12" s="43"/>
      <c r="E12" s="43"/>
    </row>
    <row r="13" ht="20.05" customHeight="1">
      <c r="B13" s="31"/>
      <c r="C13" s="17">
        <v>1441</v>
      </c>
      <c r="D13" s="43"/>
      <c r="E13" s="43"/>
    </row>
    <row r="14" ht="20.05" customHeight="1">
      <c r="B14" s="31"/>
      <c r="C14" s="17">
        <v>1590</v>
      </c>
      <c r="D14" s="43"/>
      <c r="E14" s="43"/>
    </row>
    <row r="15" ht="20.05" customHeight="1">
      <c r="B15" s="31"/>
      <c r="C15" s="17">
        <v>1335</v>
      </c>
      <c r="D15" s="43"/>
      <c r="E15" s="43"/>
    </row>
    <row r="16" ht="20.05" customHeight="1">
      <c r="B16" s="32">
        <v>2017</v>
      </c>
      <c r="C16" s="17">
        <v>1230</v>
      </c>
      <c r="D16" s="43"/>
      <c r="E16" s="43"/>
    </row>
    <row r="17" ht="20.05" customHeight="1">
      <c r="B17" s="31"/>
      <c r="C17" s="17">
        <v>1170</v>
      </c>
      <c r="D17" s="43"/>
      <c r="E17" s="43"/>
    </row>
    <row r="18" ht="20.05" customHeight="1">
      <c r="B18" s="31"/>
      <c r="C18" s="17">
        <v>1195</v>
      </c>
      <c r="D18" s="43"/>
      <c r="E18" s="43"/>
    </row>
    <row r="19" ht="20.05" customHeight="1">
      <c r="B19" s="31"/>
      <c r="C19" s="17">
        <v>1185</v>
      </c>
      <c r="D19" s="43"/>
      <c r="E19" s="43"/>
    </row>
    <row r="20" ht="20.05" customHeight="1">
      <c r="B20" s="32">
        <v>2018</v>
      </c>
      <c r="C20" s="17">
        <v>1175</v>
      </c>
      <c r="D20" s="43"/>
      <c r="E20" s="43"/>
    </row>
    <row r="21" ht="20.05" customHeight="1">
      <c r="B21" s="31"/>
      <c r="C21" s="17">
        <v>1020</v>
      </c>
      <c r="D21" s="43"/>
      <c r="E21" s="43"/>
    </row>
    <row r="22" ht="20.05" customHeight="1">
      <c r="B22" s="31"/>
      <c r="C22" s="42">
        <v>875</v>
      </c>
      <c r="D22" s="43"/>
      <c r="E22" s="43"/>
    </row>
    <row r="23" ht="20.05" customHeight="1">
      <c r="B23" s="31"/>
      <c r="C23" s="17">
        <v>1010</v>
      </c>
      <c r="D23" s="43"/>
      <c r="E23" s="43"/>
    </row>
    <row r="24" ht="20.05" customHeight="1">
      <c r="B24" s="32">
        <v>2019</v>
      </c>
      <c r="C24" s="17">
        <v>1000</v>
      </c>
      <c r="D24" s="43"/>
      <c r="E24" s="43"/>
    </row>
    <row r="25" ht="20.05" customHeight="1">
      <c r="B25" s="31"/>
      <c r="C25" s="17">
        <v>1150</v>
      </c>
      <c r="D25" s="43"/>
      <c r="E25" s="43"/>
    </row>
    <row r="26" ht="20.05" customHeight="1">
      <c r="B26" s="31"/>
      <c r="C26" s="17">
        <v>1055</v>
      </c>
      <c r="D26" s="43"/>
      <c r="E26" s="43"/>
    </row>
    <row r="27" ht="20.05" customHeight="1">
      <c r="B27" s="31"/>
      <c r="C27" s="17">
        <v>1040</v>
      </c>
      <c r="D27" s="43"/>
      <c r="E27" s="43"/>
    </row>
    <row r="28" ht="20.05" customHeight="1">
      <c r="B28" s="32">
        <v>2020</v>
      </c>
      <c r="C28" s="42">
        <v>444</v>
      </c>
      <c r="D28" s="43"/>
      <c r="E28" s="43"/>
    </row>
    <row r="29" ht="20.05" customHeight="1">
      <c r="B29" s="31"/>
      <c r="C29" s="42">
        <v>610</v>
      </c>
      <c r="D29" s="43"/>
      <c r="E29" s="43"/>
    </row>
    <row r="30" ht="20.05" customHeight="1">
      <c r="B30" s="31"/>
      <c r="C30" s="17">
        <v>645</v>
      </c>
      <c r="D30" s="43"/>
      <c r="E30" s="43"/>
    </row>
    <row r="31" ht="20.05" customHeight="1">
      <c r="B31" s="31"/>
      <c r="C31" s="17">
        <v>985</v>
      </c>
      <c r="D31" s="43"/>
      <c r="E31" s="43"/>
    </row>
    <row r="32" ht="20.05" customHeight="1">
      <c r="B32" s="32">
        <v>2021</v>
      </c>
      <c r="C32" s="17">
        <v>1095</v>
      </c>
      <c r="D32" s="43"/>
      <c r="E32" s="43"/>
    </row>
    <row r="33" ht="20.05" customHeight="1">
      <c r="B33" s="31"/>
      <c r="C33" s="17">
        <v>930</v>
      </c>
      <c r="D33" s="43"/>
      <c r="E33" s="43"/>
    </row>
    <row r="34" ht="20.05" customHeight="1">
      <c r="B34" s="31"/>
      <c r="C34" s="17">
        <v>935</v>
      </c>
      <c r="D34" s="43"/>
      <c r="E34" s="43"/>
    </row>
    <row r="35" ht="20.05" customHeight="1">
      <c r="B35" s="31"/>
      <c r="C35" s="17">
        <v>970</v>
      </c>
      <c r="D35" s="18">
        <v>1677.388352777770</v>
      </c>
      <c r="E35" s="43"/>
    </row>
    <row r="36" ht="20.05" customHeight="1">
      <c r="B36" s="32">
        <v>2022</v>
      </c>
      <c r="C36" s="17">
        <v>1040</v>
      </c>
      <c r="D36" s="18">
        <v>1677.388352777770</v>
      </c>
      <c r="E36" s="23"/>
    </row>
    <row r="37" ht="20.05" customHeight="1">
      <c r="B37" s="31"/>
      <c r="C37" s="17">
        <v>1000</v>
      </c>
      <c r="D37" s="18">
        <v>1271.738747321890</v>
      </c>
      <c r="E37" s="23"/>
    </row>
    <row r="38" ht="20.05" customHeight="1">
      <c r="B38" s="31"/>
      <c r="C38" s="17"/>
      <c r="D38" s="18">
        <f>'Model'!F43</f>
        <v>1719.249797373020</v>
      </c>
      <c r="E38" s="4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5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3984" style="44" customWidth="1"/>
    <col min="11" max="22" width="11.375" style="45" customWidth="1"/>
    <col min="23" max="16384" width="16.3516" style="45" customWidth="1"/>
  </cols>
  <sheetData>
    <row r="1" ht="27.65" customHeight="1">
      <c r="A1" t="s" s="2">
        <v>56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11</v>
      </c>
      <c r="C2" t="s" s="5">
        <v>26</v>
      </c>
      <c r="D2" t="s" s="5">
        <v>57</v>
      </c>
      <c r="E2" t="s" s="5">
        <v>11</v>
      </c>
      <c r="F2" t="s" s="5">
        <v>26</v>
      </c>
      <c r="G2" t="s" s="5">
        <v>57</v>
      </c>
      <c r="H2" s="4"/>
      <c r="I2" s="4"/>
      <c r="J2" s="4"/>
    </row>
    <row r="3" ht="20.25" customHeight="1">
      <c r="A3" s="26">
        <v>1995</v>
      </c>
      <c r="B3" s="27"/>
      <c r="C3" s="29"/>
      <c r="D3" s="29">
        <f>B3+C3</f>
        <v>0</v>
      </c>
      <c r="E3" s="29">
        <f>B3</f>
        <v>0</v>
      </c>
      <c r="F3" s="29">
        <f>C3</f>
        <v>0</v>
      </c>
      <c r="G3" s="29">
        <f>D3</f>
        <v>0</v>
      </c>
      <c r="H3" s="8"/>
      <c r="I3" s="8"/>
      <c r="J3" s="8"/>
    </row>
    <row r="4" ht="20.05" customHeight="1">
      <c r="A4" s="32">
        <f>1+$A3</f>
        <v>1996</v>
      </c>
      <c r="B4" s="17"/>
      <c r="C4" s="18"/>
      <c r="D4" s="18">
        <f>B4+C4</f>
        <v>0</v>
      </c>
      <c r="E4" s="18">
        <f>B4+E3</f>
        <v>0</v>
      </c>
      <c r="F4" s="18">
        <f>C4+F3</f>
        <v>0</v>
      </c>
      <c r="G4" s="18">
        <f>D4+G3</f>
        <v>0</v>
      </c>
      <c r="H4" s="23"/>
      <c r="I4" s="23"/>
      <c r="J4" s="23"/>
    </row>
    <row r="5" ht="20.05" customHeight="1">
      <c r="A5" s="32">
        <f>1+$A4</f>
        <v>1997</v>
      </c>
      <c r="B5" s="17"/>
      <c r="C5" s="18"/>
      <c r="D5" s="18">
        <f>B5+C5</f>
        <v>0</v>
      </c>
      <c r="E5" s="18">
        <f>B5+E4</f>
        <v>0</v>
      </c>
      <c r="F5" s="18">
        <f>C5+F4</f>
        <v>0</v>
      </c>
      <c r="G5" s="18">
        <f>D5+G4</f>
        <v>0</v>
      </c>
      <c r="H5" s="23"/>
      <c r="I5" s="23"/>
      <c r="J5" s="23"/>
    </row>
    <row r="6" ht="20.05" customHeight="1">
      <c r="A6" s="32">
        <f>1+$A5</f>
        <v>1998</v>
      </c>
      <c r="B6" s="17"/>
      <c r="C6" s="18"/>
      <c r="D6" s="18">
        <f>B6+C6</f>
        <v>0</v>
      </c>
      <c r="E6" s="18">
        <f>B6+E5</f>
        <v>0</v>
      </c>
      <c r="F6" s="18">
        <f>C6+F5</f>
        <v>0</v>
      </c>
      <c r="G6" s="18">
        <f>D6+G5</f>
        <v>0</v>
      </c>
      <c r="H6" s="23"/>
      <c r="I6" s="23"/>
      <c r="J6" s="23"/>
    </row>
    <row r="7" ht="20.05" customHeight="1">
      <c r="A7" s="32">
        <f>1+$A6</f>
        <v>1999</v>
      </c>
      <c r="B7" s="17"/>
      <c r="C7" s="18"/>
      <c r="D7" s="18">
        <f>B7+C7</f>
        <v>0</v>
      </c>
      <c r="E7" s="18">
        <f>B7+E6</f>
        <v>0</v>
      </c>
      <c r="F7" s="18">
        <f>C7+F6</f>
        <v>0</v>
      </c>
      <c r="G7" s="18">
        <f>D7+G6</f>
        <v>0</v>
      </c>
      <c r="H7" s="23"/>
      <c r="I7" s="23"/>
      <c r="J7" s="23"/>
    </row>
    <row r="8" ht="20.05" customHeight="1">
      <c r="A8" s="32">
        <f>1+$A7</f>
        <v>2000</v>
      </c>
      <c r="B8" s="17"/>
      <c r="C8" s="18"/>
      <c r="D8" s="18">
        <f>B8+C8</f>
        <v>0</v>
      </c>
      <c r="E8" s="18">
        <f>B8+E7</f>
        <v>0</v>
      </c>
      <c r="F8" s="18">
        <f>C8+F7</f>
        <v>0</v>
      </c>
      <c r="G8" s="18">
        <f>D8+G7</f>
        <v>0</v>
      </c>
      <c r="H8" s="23"/>
      <c r="I8" s="23"/>
      <c r="J8" s="23"/>
    </row>
    <row r="9" ht="20.05" customHeight="1">
      <c r="A9" s="32">
        <f>1+$A8</f>
        <v>2001</v>
      </c>
      <c r="B9" s="17"/>
      <c r="C9" s="18"/>
      <c r="D9" s="18">
        <f>B9+C9</f>
        <v>0</v>
      </c>
      <c r="E9" s="18">
        <f>B9+E8</f>
        <v>0</v>
      </c>
      <c r="F9" s="18">
        <f>C9+F8</f>
        <v>0</v>
      </c>
      <c r="G9" s="18">
        <f>D9+G8</f>
        <v>0</v>
      </c>
      <c r="H9" s="23"/>
      <c r="I9" s="23"/>
      <c r="J9" s="23"/>
    </row>
    <row r="10" ht="20.05" customHeight="1">
      <c r="A10" s="32">
        <f>1+$A9</f>
        <v>2002</v>
      </c>
      <c r="B10" s="17"/>
      <c r="C10" s="18"/>
      <c r="D10" s="18">
        <f>B10+C10</f>
        <v>0</v>
      </c>
      <c r="E10" s="18">
        <f>B10+E9</f>
        <v>0</v>
      </c>
      <c r="F10" s="18">
        <f>C10+F9</f>
        <v>0</v>
      </c>
      <c r="G10" s="18">
        <f>D10+G9</f>
        <v>0</v>
      </c>
      <c r="H10" s="23"/>
      <c r="I10" s="23"/>
      <c r="J10" s="23"/>
    </row>
    <row r="11" ht="20.05" customHeight="1">
      <c r="A11" s="32">
        <f>1+$A10</f>
        <v>2003</v>
      </c>
      <c r="B11" s="17"/>
      <c r="C11" s="18"/>
      <c r="D11" s="18">
        <f>B11+C11</f>
        <v>0</v>
      </c>
      <c r="E11" s="18">
        <f>B11+E10</f>
        <v>0</v>
      </c>
      <c r="F11" s="18">
        <f>C11+F10</f>
        <v>0</v>
      </c>
      <c r="G11" s="18">
        <f>D11+G10</f>
        <v>0</v>
      </c>
      <c r="H11" s="23"/>
      <c r="I11" s="23"/>
      <c r="J11" s="23"/>
    </row>
    <row r="12" ht="20.05" customHeight="1">
      <c r="A12" s="32">
        <f>1+$A11</f>
        <v>2004</v>
      </c>
      <c r="B12" s="17"/>
      <c r="C12" s="18"/>
      <c r="D12" s="18">
        <f>B12+C12</f>
        <v>0</v>
      </c>
      <c r="E12" s="18">
        <f>B12+E11</f>
        <v>0</v>
      </c>
      <c r="F12" s="18">
        <f>C12+F11</f>
        <v>0</v>
      </c>
      <c r="G12" s="18">
        <f>D12+G11</f>
        <v>0</v>
      </c>
      <c r="H12" s="23"/>
      <c r="I12" s="23"/>
      <c r="J12" s="23"/>
    </row>
    <row r="13" ht="20.05" customHeight="1">
      <c r="A13" s="32">
        <v>2005</v>
      </c>
      <c r="B13" s="17"/>
      <c r="C13" s="18"/>
      <c r="D13" s="18">
        <f>B13+C13</f>
        <v>0</v>
      </c>
      <c r="E13" s="18">
        <f>B13+E12</f>
        <v>0</v>
      </c>
      <c r="F13" s="18">
        <f>C13+F12</f>
        <v>0</v>
      </c>
      <c r="G13" s="18">
        <f>D13+G12</f>
        <v>0</v>
      </c>
      <c r="H13" s="23"/>
      <c r="I13" s="23"/>
      <c r="J13" s="23"/>
    </row>
    <row r="14" ht="20.05" customHeight="1">
      <c r="A14" s="32">
        <f>1+$A13</f>
        <v>2006</v>
      </c>
      <c r="B14" s="42"/>
      <c r="C14" s="18"/>
      <c r="D14" s="18">
        <f>B14+C14</f>
        <v>0</v>
      </c>
      <c r="E14" s="18">
        <f>B14+E13</f>
        <v>0</v>
      </c>
      <c r="F14" s="18">
        <f>C14+F13</f>
        <v>0</v>
      </c>
      <c r="G14" s="18">
        <f>D14+G13</f>
        <v>0</v>
      </c>
      <c r="H14" s="23"/>
      <c r="I14" s="23"/>
      <c r="J14" s="23"/>
    </row>
    <row r="15" ht="20.05" customHeight="1">
      <c r="A15" s="32">
        <f>1+$A14</f>
        <v>2007</v>
      </c>
      <c r="B15" s="42">
        <f>14-58</f>
        <v>-44</v>
      </c>
      <c r="C15" s="18">
        <f>2075-B15</f>
        <v>2119</v>
      </c>
      <c r="D15" s="18">
        <f>B15+C15</f>
        <v>2075</v>
      </c>
      <c r="E15" s="18">
        <f>B15+E14</f>
        <v>-44</v>
      </c>
      <c r="F15" s="18">
        <f>C15+F14</f>
        <v>2119</v>
      </c>
      <c r="G15" s="18">
        <f>D15+G14</f>
        <v>2075</v>
      </c>
      <c r="H15" s="23"/>
      <c r="I15" s="23"/>
      <c r="J15" s="23"/>
    </row>
    <row r="16" ht="20.05" customHeight="1">
      <c r="A16" s="32">
        <f>1+$A15</f>
        <v>2008</v>
      </c>
      <c r="B16" s="17">
        <v>107</v>
      </c>
      <c r="C16" s="18">
        <f>12-B16</f>
        <v>-95</v>
      </c>
      <c r="D16" s="18">
        <f>B16+C16</f>
        <v>12</v>
      </c>
      <c r="E16" s="18">
        <f>B16+E15</f>
        <v>63</v>
      </c>
      <c r="F16" s="18">
        <f>C16+F15</f>
        <v>2024</v>
      </c>
      <c r="G16" s="18">
        <f>D16+G15</f>
        <v>2087</v>
      </c>
      <c r="H16" s="23"/>
      <c r="I16" s="23"/>
      <c r="J16" s="23"/>
    </row>
    <row r="17" ht="20.05" customHeight="1">
      <c r="A17" s="32">
        <f>1+$A16</f>
        <v>2009</v>
      </c>
      <c r="B17" s="17">
        <v>50</v>
      </c>
      <c r="C17" s="18">
        <f>462-B17</f>
        <v>412</v>
      </c>
      <c r="D17" s="18">
        <f>B17+C17</f>
        <v>462</v>
      </c>
      <c r="E17" s="18">
        <f>B17+E16</f>
        <v>113</v>
      </c>
      <c r="F17" s="18">
        <f>C17+F16</f>
        <v>2436</v>
      </c>
      <c r="G17" s="18">
        <f>D17+G16</f>
        <v>2549</v>
      </c>
      <c r="H17" s="23"/>
      <c r="I17" s="23"/>
      <c r="J17" s="23"/>
    </row>
    <row r="18" ht="20.05" customHeight="1">
      <c r="A18" s="32">
        <f>1+$A17</f>
        <v>2010</v>
      </c>
      <c r="B18" s="17">
        <f>180-23</f>
        <v>157</v>
      </c>
      <c r="C18" s="18">
        <f>165-B18</f>
        <v>8</v>
      </c>
      <c r="D18" s="18">
        <f>B18+C18</f>
        <v>165</v>
      </c>
      <c r="E18" s="18">
        <f>B18+E17</f>
        <v>270</v>
      </c>
      <c r="F18" s="18">
        <f>C18+F17</f>
        <v>2444</v>
      </c>
      <c r="G18" s="18">
        <f>D18+G17</f>
        <v>2714</v>
      </c>
      <c r="H18" s="23"/>
      <c r="I18" s="23"/>
      <c r="J18" s="23"/>
    </row>
    <row r="19" ht="20.05" customHeight="1">
      <c r="A19" s="32">
        <f>1+$A18</f>
        <v>2011</v>
      </c>
      <c r="B19" s="17">
        <f>545-26</f>
        <v>519</v>
      </c>
      <c r="C19" s="18">
        <f>401-B19</f>
        <v>-118</v>
      </c>
      <c r="D19" s="18">
        <f>B19+C19</f>
        <v>401</v>
      </c>
      <c r="E19" s="18">
        <f>B19+E18</f>
        <v>789</v>
      </c>
      <c r="F19" s="18">
        <f>C19+F18</f>
        <v>2326</v>
      </c>
      <c r="G19" s="18">
        <f>D19+G18</f>
        <v>3115</v>
      </c>
      <c r="H19" s="23"/>
      <c r="I19" s="23"/>
      <c r="J19" s="23"/>
    </row>
    <row r="20" ht="20.05" customHeight="1">
      <c r="A20" s="32">
        <f>1+$A19</f>
        <v>2012</v>
      </c>
      <c r="B20" s="17">
        <f>1223-595</f>
        <v>628</v>
      </c>
      <c r="C20" s="18">
        <f>613-B20</f>
        <v>-15</v>
      </c>
      <c r="D20" s="18">
        <f>B20+C20</f>
        <v>613</v>
      </c>
      <c r="E20" s="18">
        <f>B20+E19</f>
        <v>1417</v>
      </c>
      <c r="F20" s="18">
        <f>C20+F19</f>
        <v>2311</v>
      </c>
      <c r="G20" s="18">
        <f>D20+G19</f>
        <v>3728</v>
      </c>
      <c r="H20" s="23"/>
      <c r="I20" s="23"/>
      <c r="J20" s="23"/>
    </row>
    <row r="21" ht="20.05" customHeight="1">
      <c r="A21" s="32">
        <f>1+$A20</f>
        <v>2013</v>
      </c>
      <c r="B21" s="17">
        <f>1330-41</f>
        <v>1289</v>
      </c>
      <c r="C21" s="18">
        <f>2041-B21</f>
        <v>752</v>
      </c>
      <c r="D21" s="18">
        <f>B21+C21</f>
        <v>2041</v>
      </c>
      <c r="E21" s="18">
        <f>B21+E20</f>
        <v>2706</v>
      </c>
      <c r="F21" s="18">
        <f>C21+F20</f>
        <v>3063</v>
      </c>
      <c r="G21" s="18">
        <f>D21+G20</f>
        <v>5769</v>
      </c>
      <c r="H21" s="23"/>
      <c r="I21" s="23"/>
      <c r="J21" s="23"/>
    </row>
    <row r="22" ht="20.05" customHeight="1">
      <c r="A22" s="32">
        <f>1+$A21</f>
        <v>2014</v>
      </c>
      <c r="B22" s="17">
        <f>1228-452+491</f>
        <v>1267</v>
      </c>
      <c r="C22" s="18">
        <f>1132-B22</f>
        <v>-135</v>
      </c>
      <c r="D22" s="18">
        <f>B22+C22</f>
        <v>1132</v>
      </c>
      <c r="E22" s="18">
        <f>B22+E21</f>
        <v>3973</v>
      </c>
      <c r="F22" s="18">
        <f>C22+F21</f>
        <v>2928</v>
      </c>
      <c r="G22" s="18">
        <f>D22+G21</f>
        <v>6901</v>
      </c>
      <c r="H22" s="23"/>
      <c r="I22" s="23"/>
      <c r="J22" s="23"/>
    </row>
    <row r="23" ht="20.05" customHeight="1">
      <c r="A23" s="32">
        <f>1+$A22</f>
        <v>2015</v>
      </c>
      <c r="B23" s="17">
        <f>1531-890+617</f>
        <v>1258</v>
      </c>
      <c r="C23" s="18">
        <f>1244-B23</f>
        <v>-14</v>
      </c>
      <c r="D23" s="18">
        <f>B23+C23</f>
        <v>1244</v>
      </c>
      <c r="E23" s="18">
        <f>B23+E22</f>
        <v>5231</v>
      </c>
      <c r="F23" s="18">
        <f>C23+F22</f>
        <v>2914</v>
      </c>
      <c r="G23" s="18">
        <f>D23+G22</f>
        <v>8145</v>
      </c>
      <c r="H23" s="23"/>
      <c r="I23" s="23"/>
      <c r="J23" s="23"/>
    </row>
    <row r="24" ht="20.05" customHeight="1">
      <c r="A24" s="32">
        <f>1+$A23</f>
        <v>2016</v>
      </c>
      <c r="B24" s="17">
        <f>3429-2044</f>
        <v>1385</v>
      </c>
      <c r="C24" s="18">
        <f>1454-B24</f>
        <v>69</v>
      </c>
      <c r="D24" s="18">
        <f>B24+C24</f>
        <v>1454</v>
      </c>
      <c r="E24" s="18">
        <f>B24+E23</f>
        <v>6616</v>
      </c>
      <c r="F24" s="18">
        <f>C24+F23</f>
        <v>2983</v>
      </c>
      <c r="G24" s="18">
        <f>D24+G23</f>
        <v>9599</v>
      </c>
      <c r="H24" s="23"/>
      <c r="I24" s="23"/>
      <c r="J24" s="23"/>
    </row>
    <row r="25" ht="20.05" customHeight="1">
      <c r="A25" s="32">
        <f>1+$A24</f>
        <v>2017</v>
      </c>
      <c r="B25" s="17">
        <f>4316-4119+1479-604-200</f>
        <v>872</v>
      </c>
      <c r="C25" s="18">
        <f>1051-B25</f>
        <v>179</v>
      </c>
      <c r="D25" s="18">
        <f>B25+C25</f>
        <v>1051</v>
      </c>
      <c r="E25" s="18">
        <f>B25+E24</f>
        <v>7488</v>
      </c>
      <c r="F25" s="18">
        <f>C25+F24</f>
        <v>3162</v>
      </c>
      <c r="G25" s="18">
        <f>D25+G24</f>
        <v>10650</v>
      </c>
      <c r="H25" s="23"/>
      <c r="I25" s="23"/>
      <c r="J25" s="23"/>
    </row>
    <row r="26" ht="20.05" customHeight="1">
      <c r="A26" s="32">
        <f>1+$A25</f>
        <v>2018</v>
      </c>
      <c r="B26" s="17">
        <f>4125-3385</f>
        <v>740</v>
      </c>
      <c r="C26" s="18">
        <f>653-B26</f>
        <v>-87</v>
      </c>
      <c r="D26" s="18">
        <f>B26+C26</f>
        <v>653</v>
      </c>
      <c r="E26" s="18">
        <f>B26+E25</f>
        <v>8228</v>
      </c>
      <c r="F26" s="18">
        <f>C26+F25</f>
        <v>3075</v>
      </c>
      <c r="G26" s="18">
        <f>D26+G25</f>
        <v>11303</v>
      </c>
      <c r="H26" s="23"/>
      <c r="I26" s="23"/>
      <c r="J26" s="23"/>
    </row>
    <row r="27" ht="20.05" customHeight="1">
      <c r="A27" s="32">
        <f>1+$A26</f>
        <v>2019</v>
      </c>
      <c r="B27" s="17">
        <f>2768-1773-220</f>
        <v>775</v>
      </c>
      <c r="C27" s="18">
        <f>604-B27</f>
        <v>-171</v>
      </c>
      <c r="D27" s="18">
        <f>B27+C27</f>
        <v>604</v>
      </c>
      <c r="E27" s="18">
        <f>B27+E26</f>
        <v>9003</v>
      </c>
      <c r="F27" s="18">
        <f>C27+F26</f>
        <v>2904</v>
      </c>
      <c r="G27" s="18">
        <f>D27+G26</f>
        <v>11907</v>
      </c>
      <c r="H27" s="23"/>
      <c r="I27" s="23"/>
      <c r="J27" s="23"/>
    </row>
    <row r="28" ht="20.05" customHeight="1">
      <c r="A28" s="32">
        <f>1+$A27</f>
        <v>2020</v>
      </c>
      <c r="B28" s="17">
        <f>2205-1436</f>
        <v>769</v>
      </c>
      <c r="C28" s="18">
        <f>658-B28</f>
        <v>-111</v>
      </c>
      <c r="D28" s="18">
        <f>B28+C28</f>
        <v>658</v>
      </c>
      <c r="E28" s="18">
        <f>B28+E27</f>
        <v>9772</v>
      </c>
      <c r="F28" s="18">
        <f>C28+F27</f>
        <v>2793</v>
      </c>
      <c r="G28" s="18">
        <f>D28+G27</f>
        <v>12565</v>
      </c>
      <c r="H28" s="23"/>
      <c r="I28" s="23"/>
      <c r="J28" s="23"/>
    </row>
    <row r="29" ht="20.05" customHeight="1">
      <c r="A29" s="32">
        <f>1+$A28</f>
        <v>2021</v>
      </c>
      <c r="B29" s="17">
        <f>SUM('Cashflow'!F28:F31)</f>
        <v>-466.1</v>
      </c>
      <c r="C29" s="18">
        <f>SUM('Cashflow'!G28:G31)</f>
        <v>-212.2</v>
      </c>
      <c r="D29" s="18">
        <f>B29+C29</f>
        <v>-678.3</v>
      </c>
      <c r="E29" s="18">
        <f>B29+E28</f>
        <v>9305.9</v>
      </c>
      <c r="F29" s="18">
        <f>C29+F28</f>
        <v>2580.8</v>
      </c>
      <c r="G29" s="18">
        <f>D29+G28</f>
        <v>11886.7</v>
      </c>
      <c r="H29" s="18">
        <f>AVERAGE(D15:D29)</f>
        <v>792.4466666666671</v>
      </c>
      <c r="I29" s="18">
        <f>SUM(D25:D29)</f>
        <v>2287.7</v>
      </c>
      <c r="J29" s="22">
        <f>SUM('Cashflow'!F29:G32)</f>
        <v>-1280.826</v>
      </c>
    </row>
    <row r="30" ht="20.05" customHeight="1">
      <c r="A30" s="32">
        <f>1+$A29</f>
        <v>2022</v>
      </c>
      <c r="B30" s="17">
        <f>'Cashflow'!F32</f>
        <v>-872</v>
      </c>
      <c r="C30" s="18">
        <f>'Cashflow'!G32</f>
        <v>-6</v>
      </c>
      <c r="D30" s="18">
        <f>B30+C30</f>
        <v>-878</v>
      </c>
      <c r="E30" s="18">
        <f>B30+E29</f>
        <v>8433.9</v>
      </c>
      <c r="F30" s="18">
        <f>C30+F29</f>
        <v>2574.8</v>
      </c>
      <c r="G30" s="18">
        <f>D30+G29</f>
        <v>11008.7</v>
      </c>
      <c r="H30" s="23"/>
      <c r="I30" s="23"/>
      <c r="J30" s="23"/>
    </row>
    <row r="32" ht="27.65" customHeight="1">
      <c r="K32" t="s" s="2">
        <v>58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20.25" customHeight="1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20.25" customHeight="1">
      <c r="K34" s="46"/>
      <c r="L34" t="s" s="47">
        <v>59</v>
      </c>
      <c r="M34" s="48">
        <v>18535700480000</v>
      </c>
      <c r="N34" s="8"/>
      <c r="O34" s="8"/>
      <c r="P34" s="8"/>
      <c r="Q34" s="8"/>
      <c r="R34" s="8"/>
      <c r="S34" s="8"/>
      <c r="T34" s="8"/>
      <c r="U34" s="8"/>
      <c r="V34" s="8"/>
    </row>
    <row r="35" ht="32.05" customHeight="1">
      <c r="K35" s="31"/>
      <c r="L35" t="s" s="49">
        <v>54</v>
      </c>
      <c r="M35" t="s" s="50">
        <v>60</v>
      </c>
      <c r="N35" s="16">
        <f>T54</f>
        <v>-0.0365942469091948</v>
      </c>
      <c r="O35" t="s" s="50">
        <f>U54</f>
        <v>61</v>
      </c>
      <c r="P35" t="s" s="50">
        <f>V54</f>
        <v>62</v>
      </c>
      <c r="Q35" s="23"/>
      <c r="R35" s="23"/>
      <c r="S35" s="23"/>
      <c r="T35" s="23"/>
      <c r="U35" s="23"/>
      <c r="V35" s="23"/>
    </row>
    <row r="36" ht="20.05" customHeight="1">
      <c r="K36" s="31"/>
      <c r="L36" s="51">
        <v>44673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ht="20.05" customHeight="1">
      <c r="K37" s="31"/>
      <c r="L37" t="s" s="49">
        <v>63</v>
      </c>
      <c r="M37" s="22">
        <f>$A15</f>
        <v>2007</v>
      </c>
      <c r="N37" s="23"/>
      <c r="O37" s="23"/>
      <c r="P37" s="23"/>
      <c r="Q37" s="23"/>
      <c r="R37" s="23"/>
      <c r="S37" s="23"/>
      <c r="T37" s="23"/>
      <c r="U37" s="23"/>
      <c r="V37" s="23"/>
    </row>
    <row r="38" ht="32.05" customHeight="1">
      <c r="K38" s="31"/>
      <c r="L38" t="s" s="49">
        <v>64</v>
      </c>
      <c r="M38" s="22">
        <f>(2022-M37)*4</f>
        <v>60</v>
      </c>
      <c r="N38" s="23"/>
      <c r="O38" s="23"/>
      <c r="P38" s="23"/>
      <c r="Q38" s="23"/>
      <c r="R38" s="23"/>
      <c r="S38" s="23"/>
      <c r="T38" s="23"/>
      <c r="U38" s="23"/>
      <c r="V38" s="23"/>
    </row>
    <row r="39" ht="32.05" customHeight="1">
      <c r="K39" s="31"/>
      <c r="L39" t="s" s="49">
        <v>65</v>
      </c>
      <c r="M39" s="18">
        <f>(M34/1000000000)</f>
        <v>18535.70048</v>
      </c>
      <c r="N39" s="23"/>
      <c r="O39" s="23"/>
      <c r="P39" s="23"/>
      <c r="Q39" s="23"/>
      <c r="R39" s="23"/>
      <c r="S39" s="23"/>
      <c r="T39" s="23"/>
      <c r="U39" s="23"/>
      <c r="V39" s="23"/>
    </row>
    <row r="40" ht="20.05" customHeight="1">
      <c r="K40" s="31"/>
      <c r="L40" t="s" s="49">
        <v>11</v>
      </c>
      <c r="M40" s="18">
        <f>R44</f>
        <v>9305.9</v>
      </c>
      <c r="N40" t="s" s="50">
        <f>R41</f>
        <v>66</v>
      </c>
      <c r="O40" t="s" s="50">
        <f>IF(M40&gt;0,"raised","paid")</f>
        <v>67</v>
      </c>
      <c r="P40" s="23"/>
      <c r="Q40" s="23"/>
      <c r="R40" s="23"/>
      <c r="S40" s="23"/>
      <c r="T40" s="23"/>
      <c r="U40" s="23"/>
      <c r="V40" s="23"/>
    </row>
    <row r="41" ht="32.05" customHeight="1">
      <c r="K41" s="31"/>
      <c r="L41" t="s" s="49">
        <f>L35</f>
        <v>54</v>
      </c>
      <c r="M41" t="s" s="50">
        <v>68</v>
      </c>
      <c r="N41" t="s" s="50">
        <f>IF(Q41&gt;0,"raised","paid")</f>
        <v>67</v>
      </c>
      <c r="O41" t="s" s="50">
        <v>69</v>
      </c>
      <c r="P41" t="s" s="50">
        <v>70</v>
      </c>
      <c r="Q41" s="22">
        <f>AVERAGE(B15:B29)</f>
        <v>620.393333333333</v>
      </c>
      <c r="R41" t="s" s="50">
        <v>66</v>
      </c>
      <c r="S41" t="s" s="50">
        <v>71</v>
      </c>
      <c r="T41" s="16">
        <f>Q41/M39</f>
        <v>0.0334701854943511</v>
      </c>
      <c r="U41" t="s" s="50">
        <v>61</v>
      </c>
      <c r="V41" s="23"/>
    </row>
    <row r="42" ht="32.05" customHeight="1">
      <c r="K42" s="31"/>
      <c r="L42" t="s" s="49">
        <v>72</v>
      </c>
      <c r="M42" t="s" s="50">
        <f>O41</f>
        <v>69</v>
      </c>
      <c r="N42" t="s" s="50">
        <v>73</v>
      </c>
      <c r="O42" t="s" s="50">
        <f>IF(Q42&gt;0,"raised","paid")</f>
        <v>67</v>
      </c>
      <c r="P42" t="s" s="50">
        <v>70</v>
      </c>
      <c r="Q42" s="18">
        <f>AVERAGE(B25:B29)</f>
        <v>537.98</v>
      </c>
      <c r="R42" t="s" s="50">
        <f>R41</f>
        <v>66</v>
      </c>
      <c r="S42" t="s" s="50">
        <v>71</v>
      </c>
      <c r="T42" s="16">
        <f>Q42/M39</f>
        <v>0.0290239907890441</v>
      </c>
      <c r="U42" t="s" s="50">
        <v>61</v>
      </c>
      <c r="V42" s="23"/>
    </row>
    <row r="43" ht="44.05" customHeight="1">
      <c r="K43" s="31"/>
      <c r="L43" t="s" s="49">
        <v>74</v>
      </c>
      <c r="M43" t="s" s="50">
        <v>75</v>
      </c>
      <c r="N43" s="18">
        <f>MAX(E15:E29)</f>
        <v>9772</v>
      </c>
      <c r="O43" t="s" s="50">
        <f>R42</f>
        <v>66</v>
      </c>
      <c r="P43" t="s" s="50">
        <v>76</v>
      </c>
      <c r="Q43" s="22">
        <f>$A28</f>
        <v>2020</v>
      </c>
      <c r="R43" s="23"/>
      <c r="S43" s="23"/>
      <c r="T43" s="23"/>
      <c r="U43" s="23"/>
      <c r="V43" s="23"/>
    </row>
    <row r="44" ht="32.05" customHeight="1">
      <c r="K44" s="31"/>
      <c r="L44" t="s" s="49">
        <v>77</v>
      </c>
      <c r="M44" t="s" s="50">
        <f>M42</f>
        <v>69</v>
      </c>
      <c r="N44" t="s" s="50">
        <v>78</v>
      </c>
      <c r="O44" t="s" s="50">
        <v>79</v>
      </c>
      <c r="P44" t="s" s="50">
        <f>IF(R44&lt;N43,"down","up")</f>
        <v>80</v>
      </c>
      <c r="Q44" t="s" s="50">
        <v>81</v>
      </c>
      <c r="R44" s="18">
        <f>E29</f>
        <v>9305.9</v>
      </c>
      <c r="S44" t="s" s="50">
        <f>R42</f>
        <v>66</v>
      </c>
      <c r="T44" s="23"/>
      <c r="U44" s="23"/>
      <c r="V44" s="23"/>
    </row>
    <row r="45" ht="20.05" customHeight="1">
      <c r="K45" s="31"/>
      <c r="L45" t="s" s="49">
        <v>26</v>
      </c>
      <c r="M45" s="18">
        <f>R49</f>
        <v>2580.8</v>
      </c>
      <c r="N45" t="s" s="50">
        <f>S44</f>
        <v>66</v>
      </c>
      <c r="O45" t="s" s="50">
        <f>IF(M45&gt;0,"raised","paid")</f>
        <v>67</v>
      </c>
      <c r="P45" s="23"/>
      <c r="Q45" s="23"/>
      <c r="R45" s="23"/>
      <c r="S45" s="23"/>
      <c r="T45" s="23"/>
      <c r="U45" s="23"/>
      <c r="V45" s="23"/>
    </row>
    <row r="46" ht="32.05" customHeight="1">
      <c r="K46" s="31"/>
      <c r="L46" t="s" s="49">
        <f>L41</f>
        <v>54</v>
      </c>
      <c r="M46" t="s" s="50">
        <v>68</v>
      </c>
      <c r="N46" t="s" s="50">
        <f>IF(Q46&gt;0,"raised","paid")</f>
        <v>67</v>
      </c>
      <c r="O46" t="s" s="50">
        <v>82</v>
      </c>
      <c r="P46" t="s" s="50">
        <f>P41</f>
        <v>70</v>
      </c>
      <c r="Q46" s="18">
        <f>AVERAGE(C15:C29)</f>
        <v>172.053333333333</v>
      </c>
      <c r="R46" t="s" s="50">
        <f>R41</f>
        <v>66</v>
      </c>
      <c r="S46" t="s" s="50">
        <f>S41</f>
        <v>71</v>
      </c>
      <c r="T46" s="16">
        <f>Q46/M39</f>
        <v>0.00928226767145803</v>
      </c>
      <c r="U46" t="s" s="50">
        <f>U41</f>
        <v>61</v>
      </c>
      <c r="V46" s="23"/>
    </row>
    <row r="47" ht="32.05" customHeight="1">
      <c r="K47" s="31"/>
      <c r="L47" t="s" s="49">
        <v>72</v>
      </c>
      <c r="M47" t="s" s="50">
        <f>O46</f>
        <v>82</v>
      </c>
      <c r="N47" t="s" s="50">
        <v>83</v>
      </c>
      <c r="O47" t="s" s="50">
        <f>IF(Q47&gt;0,"raised","paid")</f>
        <v>84</v>
      </c>
      <c r="P47" t="s" s="50">
        <v>70</v>
      </c>
      <c r="Q47" s="18">
        <f>AVERAGE(C25:C29)</f>
        <v>-80.44</v>
      </c>
      <c r="R47" t="s" s="50">
        <f>R46</f>
        <v>66</v>
      </c>
      <c r="S47" t="s" s="50">
        <v>71</v>
      </c>
      <c r="T47" s="16">
        <f>Q47/M39</f>
        <v>-0.00433973348278878</v>
      </c>
      <c r="U47" t="s" s="50">
        <f>U42</f>
        <v>61</v>
      </c>
      <c r="V47" s="23"/>
    </row>
    <row r="48" ht="44.05" customHeight="1">
      <c r="K48" s="31"/>
      <c r="L48" t="s" s="49">
        <v>85</v>
      </c>
      <c r="M48" t="s" s="50">
        <v>75</v>
      </c>
      <c r="N48" s="18">
        <f>MAX(F15:F29)</f>
        <v>3162</v>
      </c>
      <c r="O48" t="s" s="50">
        <f>R47</f>
        <v>66</v>
      </c>
      <c r="P48" t="s" s="50">
        <v>76</v>
      </c>
      <c r="Q48" s="22">
        <f>$A25</f>
        <v>2017</v>
      </c>
      <c r="R48" s="23"/>
      <c r="S48" s="23"/>
      <c r="T48" s="23"/>
      <c r="U48" s="23"/>
      <c r="V48" s="23"/>
    </row>
    <row r="49" ht="32.05" customHeight="1">
      <c r="K49" s="31"/>
      <c r="L49" t="s" s="49">
        <v>77</v>
      </c>
      <c r="M49" t="s" s="50">
        <f>M47</f>
        <v>82</v>
      </c>
      <c r="N49" t="s" s="50">
        <v>78</v>
      </c>
      <c r="O49" t="s" s="50">
        <v>86</v>
      </c>
      <c r="P49" t="s" s="50">
        <f>IF(R49&lt;N48,"down","up")</f>
        <v>80</v>
      </c>
      <c r="Q49" t="s" s="50">
        <v>81</v>
      </c>
      <c r="R49" s="18">
        <f>F29</f>
        <v>2580.8</v>
      </c>
      <c r="S49" t="s" s="50">
        <f>R47</f>
        <v>66</v>
      </c>
      <c r="T49" s="23"/>
      <c r="U49" s="23"/>
      <c r="V49" s="23"/>
    </row>
    <row r="50" ht="20.05" customHeight="1">
      <c r="K50" s="31"/>
      <c r="L50" t="s" s="49">
        <v>87</v>
      </c>
      <c r="M50" s="18">
        <f>R54</f>
        <v>11886.7</v>
      </c>
      <c r="N50" t="s" s="50">
        <f>S49</f>
        <v>66</v>
      </c>
      <c r="O50" t="s" s="50">
        <f>IF(M50&gt;0,"raised","paid")</f>
        <v>67</v>
      </c>
      <c r="P50" s="23"/>
      <c r="Q50" s="23"/>
      <c r="R50" s="23"/>
      <c r="S50" s="23"/>
      <c r="T50" s="23"/>
      <c r="U50" s="23"/>
      <c r="V50" s="23"/>
    </row>
    <row r="51" ht="32.05" customHeight="1">
      <c r="K51" s="31"/>
      <c r="L51" t="s" s="49">
        <f>L46</f>
        <v>54</v>
      </c>
      <c r="M51" t="s" s="50">
        <v>68</v>
      </c>
      <c r="N51" t="s" s="50">
        <f>IF(Q51&gt;0,"raised","paid")</f>
        <v>67</v>
      </c>
      <c r="O51" t="s" s="50">
        <v>88</v>
      </c>
      <c r="P51" t="s" s="50">
        <f>P46</f>
        <v>70</v>
      </c>
      <c r="Q51" s="18">
        <f>AVERAGE(D15:D29)</f>
        <v>792.4466666666671</v>
      </c>
      <c r="R51" t="s" s="50">
        <f>R46</f>
        <v>66</v>
      </c>
      <c r="S51" t="s" s="50">
        <f>S46</f>
        <v>71</v>
      </c>
      <c r="T51" s="16">
        <f>Q51/M39</f>
        <v>0.0427524531658092</v>
      </c>
      <c r="U51" t="s" s="50">
        <f>U46</f>
        <v>61</v>
      </c>
      <c r="V51" s="23"/>
    </row>
    <row r="52" ht="32.05" customHeight="1">
      <c r="K52" s="31"/>
      <c r="L52" t="s" s="49">
        <v>72</v>
      </c>
      <c r="M52" t="s" s="50">
        <f>O51</f>
        <v>88</v>
      </c>
      <c r="N52" t="s" s="50">
        <v>83</v>
      </c>
      <c r="O52" t="s" s="50">
        <f>IF(Q52&gt;0,"raised","paid")</f>
        <v>67</v>
      </c>
      <c r="P52" t="s" s="50">
        <v>70</v>
      </c>
      <c r="Q52" s="18">
        <f>AVERAGE(D25:D29)</f>
        <v>457.54</v>
      </c>
      <c r="R52" t="s" s="50">
        <f>R51</f>
        <v>66</v>
      </c>
      <c r="S52" t="s" s="50">
        <v>71</v>
      </c>
      <c r="T52" s="16">
        <f>Q52/M39</f>
        <v>0.0246842573062553</v>
      </c>
      <c r="U52" t="s" s="50">
        <f>U47</f>
        <v>61</v>
      </c>
      <c r="V52" s="23"/>
    </row>
    <row r="53" ht="44.05" customHeight="1">
      <c r="K53" s="31"/>
      <c r="L53" t="s" s="49">
        <v>89</v>
      </c>
      <c r="M53" t="s" s="50">
        <v>75</v>
      </c>
      <c r="N53" s="18">
        <f>MAX(G15:G29)</f>
        <v>12565</v>
      </c>
      <c r="O53" t="s" s="50">
        <f>R52</f>
        <v>66</v>
      </c>
      <c r="P53" t="s" s="50">
        <v>76</v>
      </c>
      <c r="Q53" s="22">
        <f>$A28</f>
        <v>2020</v>
      </c>
      <c r="R53" s="23"/>
      <c r="S53" s="23"/>
      <c r="T53" s="23"/>
      <c r="U53" s="23"/>
      <c r="V53" s="23"/>
    </row>
    <row r="54" ht="32.05" customHeight="1">
      <c r="K54" s="31"/>
      <c r="L54" t="s" s="49">
        <v>77</v>
      </c>
      <c r="M54" t="s" s="50">
        <f>M52</f>
        <v>88</v>
      </c>
      <c r="N54" t="s" s="50">
        <v>78</v>
      </c>
      <c r="O54" t="s" s="50">
        <v>86</v>
      </c>
      <c r="P54" t="s" s="50">
        <f>IF(R54&lt;N53,"down","up")</f>
        <v>80</v>
      </c>
      <c r="Q54" t="s" s="50">
        <v>81</v>
      </c>
      <c r="R54" s="18">
        <f>G29</f>
        <v>11886.7</v>
      </c>
      <c r="S54" t="s" s="50">
        <f>R52</f>
        <v>66</v>
      </c>
      <c r="T54" s="16">
        <f>AVERAGE(D29)/M39</f>
        <v>-0.0365942469091948</v>
      </c>
      <c r="U54" t="s" s="50">
        <f>U52</f>
        <v>61</v>
      </c>
      <c r="V54" t="s" s="50">
        <v>62</v>
      </c>
    </row>
  </sheetData>
  <mergeCells count="2">
    <mergeCell ref="A1:J1"/>
    <mergeCell ref="K32:V3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