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<sst xmlns="http://schemas.openxmlformats.org/spreadsheetml/2006/main" uniqueCount="59">
  <si>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</si>
  <si>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</si>
  <si>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2022</t>
  </si>
  <si>
    <t>Cashflow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</si>
  <si>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</si>
  <si>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</si>
  <si>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</si>
  <si>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</si>
  <si>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</si>
  <si>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</si>
  <si>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Leases</t>
  </si>
  <si>
    <t>Finance</t>
  </si>
  <si>
    <t xml:space="preserve">Liabilities </t>
  </si>
  <si>
    <t xml:space="preserve">Revolver </t>
  </si>
  <si>
    <t>Payout</t>
  </si>
  <si>
    <t xml:space="preserve">Equity </t>
  </si>
  <si>
    <t xml:space="preserve">Before 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</si>
  <si>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</si>
  <si>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</si>
  <si>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</si>
  <si>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</si>
  <si>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</si>
  <si>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</si>
  <si>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</si>
  <si>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</si>
  <si>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</si>
  <si>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</si>
  <si>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</si>
  <si>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</si>
  <si>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</si>
  <si>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>Capital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</si>
  <si>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</si>
  <si>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</si>
  <si>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</si>
  <si>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</si>
  <si>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</si>
  <si>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</si>
  <si>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</si>
  <si>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</si>
  <si>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</si>
  <si>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>Current</t>
  </si>
  <si>
    <t xml:space="preserve">V target </t>
  </si>
  <si>
    <t xml:space="preserve">12 month growth </t>
  </si>
  <si>
    <t xml:space="preserve">Sales forecasts </t>
  </si>
  <si>
    <t>Profit quarterly</t>
  </si>
  <si>
    <t xml:space="preserve">Sales growth </t>
  </si>
  <si>
    <t>Costs ratio</t>
  </si>
  <si>
    <t>Receipts</t>
  </si>
  <si>
    <t xml:space="preserve">Investment </t>
  </si>
  <si>
    <t xml:space="preserve">Free cashflow </t>
  </si>
  <si>
    <t xml:space="preserve">Capital </t>
  </si>
  <si>
    <t>Balance sheet</t>
  </si>
  <si>
    <t xml:space="preserve">  Cash</t>
  </si>
  <si>
    <t>Assets</t>
  </si>
  <si>
    <t>Other asset</t>
  </si>
  <si>
    <t>Share price</t>
  </si>
  <si>
    <t>Rp</t>
  </si>
  <si>
    <t>Target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</si>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</sst>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7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center"/>
    </xf>
    <xf numFmtId="49" fontId="2" fillId="2" borderId="1" applyNumberFormat="1" applyFont="1" applyFill="1" applyBorder="1" applyAlignment="1" applyProtection="0">
      <alignment horizontal="right" vertical="center"/>
    </xf>
    <xf numFmtId="49" fontId="2" fillId="3" borderId="2" applyNumberFormat="1" applyFont="1" applyFill="1" applyBorder="1" applyAlignment="1" applyProtection="0">
      <alignment horizontal="left" vertical="center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9" fontId="0" borderId="6" applyNumberFormat="1" applyFont="1" applyFill="0" applyBorder="1" applyAlignment="1" applyProtection="0">
      <alignment horizontal="right" vertical="center"/>
    </xf>
    <xf numFmtId="9" fontId="0" borderId="7" applyNumberFormat="1" applyFont="1" applyFill="0" applyBorder="1" applyAlignment="1" applyProtection="0">
      <alignment horizontal="right" vertical="center"/>
    </xf>
    <xf numFmtId="38" fontId="0" borderId="6" applyNumberFormat="1" applyFont="1" applyFill="0" applyBorder="1" applyAlignment="1" applyProtection="0">
      <alignment horizontal="right" vertical="center"/>
    </xf>
    <xf numFmtId="38" fontId="0" borderId="7" applyNumberFormat="1" applyFont="1" applyFill="0" applyBorder="1" applyAlignment="1" applyProtection="0">
      <alignment horizontal="right" vertical="center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8" applyNumberFormat="1" applyFont="1" applyFill="1" applyBorder="1" applyAlignment="1" applyProtection="0">
      <alignment vertical="top"/>
    </xf>
    <xf numFmtId="49" fontId="2" fillId="2" borderId="8" applyNumberFormat="1" applyFont="1" applyFill="1" applyBorder="1" applyAlignment="1" applyProtection="0">
      <alignment horizontal="center" vertical="top"/>
    </xf>
    <xf numFmtId="0" fontId="2" fillId="4" borderId="8" applyNumberFormat="1" applyFont="1" applyFill="1" applyBorder="1" applyAlignment="1" applyProtection="0">
      <alignment vertical="top"/>
    </xf>
    <xf numFmtId="3" fontId="3" borderId="8" applyNumberFormat="1" applyFont="1" applyFill="0" applyBorder="1" applyAlignment="1" applyProtection="0">
      <alignment horizontal="right" vertical="center" wrapText="1" readingOrder="1"/>
    </xf>
    <xf numFmtId="1" fontId="3" borderId="8" applyNumberFormat="1" applyFont="1" applyFill="0" applyBorder="1" applyAlignment="1" applyProtection="0">
      <alignment horizontal="right" vertical="center" wrapText="1" readingOrder="1"/>
    </xf>
    <xf numFmtId="0" fontId="2" fillId="4" borderId="8" applyNumberFormat="0" applyFont="1" applyFill="1" applyBorder="1" applyAlignment="1" applyProtection="0">
      <alignment vertical="top"/>
    </xf>
    <xf numFmtId="1" fontId="0" borderId="9" applyNumberFormat="1" applyFont="1" applyFill="0" applyBorder="1" applyAlignment="1" applyProtection="0">
      <alignment vertical="top"/>
    </xf>
    <xf numFmtId="3" fontId="0" borderId="9" applyNumberFormat="1" applyFont="1" applyFill="0" applyBorder="1" applyAlignment="1" applyProtection="0">
      <alignment vertical="top"/>
    </xf>
    <xf numFmtId="1" fontId="0" borderId="7" applyNumberFormat="1" applyFont="1" applyFill="0" applyBorder="1" applyAlignment="1" applyProtection="0">
      <alignment vertical="top"/>
    </xf>
    <xf numFmtId="3" fontId="0" borderId="10" applyNumberFormat="1" applyFont="1" applyFill="0" applyBorder="1" applyAlignment="1" applyProtection="0">
      <alignment vertical="top"/>
    </xf>
    <xf numFmtId="1" fontId="0" borderId="11" applyNumberFormat="1" applyFont="1" applyFill="0" applyBorder="1" applyAlignment="1" applyProtection="0">
      <alignment vertical="top"/>
    </xf>
    <xf numFmtId="3" fontId="0" borderId="12" applyNumberFormat="1" applyFont="1" applyFill="0" applyBorder="1" applyAlignment="1" applyProtection="0">
      <alignment vertical="top"/>
    </xf>
    <xf numFmtId="1" fontId="0" borderId="13" applyNumberFormat="1" applyFont="1" applyFill="0" applyBorder="1" applyAlignment="1" applyProtection="0">
      <alignment vertical="top"/>
    </xf>
    <xf numFmtId="3" fontId="0" borderId="14" applyNumberFormat="1" applyFont="1" applyFill="0" applyBorder="1" applyAlignment="1" applyProtection="0">
      <alignment vertical="top"/>
    </xf>
    <xf numFmtId="3" fontId="0" borderId="11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c6c6c6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3186"/>
          <c:y val="0.0446026"/>
          <c:w val="0.82835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'!$E$3:$E$16</c:f>
              <c:numCache>
                <c:ptCount val="14"/>
                <c:pt idx="0">
                  <c:v>-1701.680000</c:v>
                </c:pt>
                <c:pt idx="1">
                  <c:v>-2101.325000</c:v>
                </c:pt>
                <c:pt idx="2">
                  <c:v>-1525.187000</c:v>
                </c:pt>
                <c:pt idx="3">
                  <c:v>-688.496000</c:v>
                </c:pt>
                <c:pt idx="4">
                  <c:v>286.205000</c:v>
                </c:pt>
                <c:pt idx="5">
                  <c:v>3936.605000</c:v>
                </c:pt>
                <c:pt idx="6">
                  <c:v>5340.764000</c:v>
                </c:pt>
                <c:pt idx="7">
                  <c:v>3670.837000</c:v>
                </c:pt>
                <c:pt idx="8">
                  <c:v>3000.397000</c:v>
                </c:pt>
                <c:pt idx="9">
                  <c:v>1480.131000</c:v>
                </c:pt>
                <c:pt idx="10">
                  <c:v>2040.785000</c:v>
                </c:pt>
                <c:pt idx="11">
                  <c:v>1177.960000</c:v>
                </c:pt>
                <c:pt idx="12">
                  <c:v>2858.091000</c:v>
                </c:pt>
                <c:pt idx="13">
                  <c:v>2658.091000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'!$F$3:$F$16</c:f>
              <c:numCache>
                <c:ptCount val="14"/>
                <c:pt idx="0">
                  <c:v>-0.078000</c:v>
                </c:pt>
                <c:pt idx="1">
                  <c:v>-689.577000</c:v>
                </c:pt>
                <c:pt idx="2">
                  <c:v>-1344.640000</c:v>
                </c:pt>
                <c:pt idx="3">
                  <c:v>-2038.518000</c:v>
                </c:pt>
                <c:pt idx="4">
                  <c:v>-2792.880000</c:v>
                </c:pt>
                <c:pt idx="5">
                  <c:v>-3547.241000</c:v>
                </c:pt>
                <c:pt idx="6">
                  <c:v>-3842.430000</c:v>
                </c:pt>
                <c:pt idx="7">
                  <c:v>-4317.992000</c:v>
                </c:pt>
                <c:pt idx="8">
                  <c:v>-5236.280000</c:v>
                </c:pt>
                <c:pt idx="9">
                  <c:v>-6154.568000</c:v>
                </c:pt>
                <c:pt idx="10">
                  <c:v>-8089.532000</c:v>
                </c:pt>
                <c:pt idx="11">
                  <c:v>-9417.770000</c:v>
                </c:pt>
                <c:pt idx="12">
                  <c:v>-11254.370000</c:v>
                </c:pt>
                <c:pt idx="13">
                  <c:v>-11254.370000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'!$G$3:$G$16</c:f>
              <c:numCache>
                <c:ptCount val="14"/>
                <c:pt idx="0">
                  <c:v>-1701.758000</c:v>
                </c:pt>
                <c:pt idx="1">
                  <c:v>-2790.902000</c:v>
                </c:pt>
                <c:pt idx="2">
                  <c:v>-2869.827000</c:v>
                </c:pt>
                <c:pt idx="3">
                  <c:v>-2727.014000</c:v>
                </c:pt>
                <c:pt idx="4">
                  <c:v>-2506.675000</c:v>
                </c:pt>
                <c:pt idx="5">
                  <c:v>389.364000</c:v>
                </c:pt>
                <c:pt idx="6">
                  <c:v>1498.334000</c:v>
                </c:pt>
                <c:pt idx="7">
                  <c:v>-647.155000</c:v>
                </c:pt>
                <c:pt idx="8">
                  <c:v>-2235.883000</c:v>
                </c:pt>
                <c:pt idx="9">
                  <c:v>-4674.437000</c:v>
                </c:pt>
                <c:pt idx="10">
                  <c:v>-6048.747000</c:v>
                </c:pt>
                <c:pt idx="11">
                  <c:v>-8239.810000</c:v>
                </c:pt>
                <c:pt idx="12">
                  <c:v>-8396.279000</c:v>
                </c:pt>
                <c:pt idx="13">
                  <c:v>-8596.279000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4500"/>
        <c:minorUnit val="225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34393"/>
          <c:y val="0.0424993"/>
          <c:w val="0.332066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495179</xdr:colOff>
      <xdr:row>1</xdr:row>
      <xdr:rowOff>339777</xdr:rowOff>
    </xdr:from>
    <xdr:to>
      <xdr:col>13</xdr:col>
      <xdr:colOff>992478</xdr:colOff>
      <xdr:row>49</xdr:row>
      <xdr:rowOff>112920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54479" y="568377"/>
          <a:ext cx="9209500" cy="120972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488975</xdr:colOff>
      <xdr:row>25</xdr:row>
      <xdr:rowOff>42045</xdr:rowOff>
    </xdr:from>
    <xdr:to>
      <xdr:col>5</xdr:col>
      <xdr:colOff>408901</xdr:colOff>
      <xdr:row>38</xdr:row>
      <xdr:rowOff>93670</xdr:rowOff>
    </xdr:to>
    <xdr:graphicFrame>
      <xdr:nvGraphicFramePr>
        <xdr:cNvPr id="4" name="2D Line Chart"/>
        <xdr:cNvGraphicFramePr/>
      </xdr:nvGraphicFramePr>
      <xdr:xfrm>
        <a:off x="488975" y="6492375"/>
        <a:ext cx="3602927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91502</xdr:colOff>
      <xdr:row>21</xdr:row>
      <xdr:rowOff>157849</xdr:rowOff>
    </xdr:from>
    <xdr:to>
      <xdr:col>6</xdr:col>
      <xdr:colOff>439029</xdr:colOff>
      <xdr:row>25</xdr:row>
      <xdr:rowOff>129480</xdr:rowOff>
    </xdr:to>
    <xdr:sp>
      <xdr:nvSpPr>
        <xdr:cNvPr id="5" name="CPIN HAS PAID EQUITY BUT RAISED LIABILITIES"/>
        <xdr:cNvSpPr txBox="1"/>
      </xdr:nvSpPr>
      <xdr:spPr>
        <a:xfrm>
          <a:off x="91502" y="5597259"/>
          <a:ext cx="4767128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CPIN HAS PAID EQUITY BUT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RAISED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LIABILITIES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39062" style="1" customWidth="1"/>
    <col min="2" max="2" width="16.4375" style="1" customWidth="1"/>
    <col min="3" max="6" width="8.92188" style="1" customWidth="1"/>
    <col min="7" max="16384" width="16.3516" style="1" customWidth="1"/>
  </cols>
  <sheetData>
    <row r="1" ht="1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5"/>
      <c r="E3" t="s" s="6">
        <v>2</v>
      </c>
      <c r="F3" s="4"/>
    </row>
    <row r="4" ht="20.25" customHeight="1">
      <c r="B4" t="s" s="7">
        <v>3</v>
      </c>
      <c r="C4" s="8">
        <f>AVERAGE('Sales'!G29:G32)</f>
        <v>0.0395071837898701</v>
      </c>
      <c r="D4" s="9"/>
      <c r="E4" s="9"/>
      <c r="F4" s="10">
        <f>AVERAGE(C5:F5)</f>
        <v>0.0275</v>
      </c>
    </row>
    <row r="5" ht="20.05" customHeight="1">
      <c r="B5" t="s" s="11">
        <v>4</v>
      </c>
      <c r="C5" s="12">
        <v>0.03</v>
      </c>
      <c r="D5" s="13">
        <v>0.04</v>
      </c>
      <c r="E5" s="13">
        <v>0.05</v>
      </c>
      <c r="F5" s="13">
        <v>-0.01</v>
      </c>
    </row>
    <row r="6" ht="20.05" customHeight="1">
      <c r="B6" t="s" s="11">
        <v>5</v>
      </c>
      <c r="C6" s="14">
        <f>'Sales'!C32*(1+C5)</f>
        <v>14724.262</v>
      </c>
      <c r="D6" s="15">
        <f>C6*(1+D5)</f>
        <v>15313.23248</v>
      </c>
      <c r="E6" s="15">
        <f>D6*(1+E5)</f>
        <v>16078.894104</v>
      </c>
      <c r="F6" s="15">
        <f>E6*(1+F5)</f>
        <v>15918.10516296</v>
      </c>
    </row>
    <row r="7" ht="20.05" customHeight="1">
      <c r="B7" t="s" s="11">
        <v>6</v>
      </c>
      <c r="C7" s="16">
        <f>AVERAGE('Sales'!H32)</f>
        <v>-0.897869244652126</v>
      </c>
      <c r="D7" s="17">
        <f>C7</f>
        <v>-0.897869244652126</v>
      </c>
      <c r="E7" s="17">
        <f>D7</f>
        <v>-0.897869244652126</v>
      </c>
      <c r="F7" s="17">
        <f>E7</f>
        <v>-0.897869244652126</v>
      </c>
    </row>
    <row r="8" ht="20.05" customHeight="1">
      <c r="B8" t="s" s="11">
        <v>7</v>
      </c>
      <c r="C8" s="18">
        <f>C6*C7</f>
        <v>-13220.462</v>
      </c>
      <c r="D8" s="19">
        <f>D6*D7</f>
        <v>-13749.28048</v>
      </c>
      <c r="E8" s="19">
        <f>E6*E7</f>
        <v>-14436.744504</v>
      </c>
      <c r="F8" s="19">
        <f>F6*F7</f>
        <v>-14292.37705896</v>
      </c>
    </row>
    <row r="9" ht="20.05" customHeight="1">
      <c r="B9" t="s" s="11">
        <v>8</v>
      </c>
      <c r="C9" s="20">
        <f>C6+C8</f>
        <v>1503.8</v>
      </c>
      <c r="D9" s="21">
        <f>D6+D8</f>
        <v>1563.952</v>
      </c>
      <c r="E9" s="21">
        <f>E6+E8</f>
        <v>1642.1496</v>
      </c>
      <c r="F9" s="21">
        <f>F6+F8</f>
        <v>1625.728104</v>
      </c>
    </row>
    <row r="10" ht="20.05" customHeight="1">
      <c r="B10" t="s" s="11">
        <v>9</v>
      </c>
      <c r="C10" s="18">
        <f>AVERAGE('Cashflow '!E25:E32)</f>
        <v>-589.8625</v>
      </c>
      <c r="D10" s="19">
        <f>C10</f>
        <v>-589.8625</v>
      </c>
      <c r="E10" s="19">
        <f>D10</f>
        <v>-589.8625</v>
      </c>
      <c r="F10" s="19">
        <f>E10</f>
        <v>-589.8625</v>
      </c>
    </row>
    <row r="11" ht="20.05" customHeight="1">
      <c r="B11" t="s" s="11">
        <v>10</v>
      </c>
      <c r="C11" s="18">
        <f>AVERAGE('Cashflow '!F32)</f>
        <v>-21.9</v>
      </c>
      <c r="D11" s="19">
        <f>C11</f>
        <v>-21.9</v>
      </c>
      <c r="E11" s="19">
        <f>D11</f>
        <v>-21.9</v>
      </c>
      <c r="F11" s="19">
        <f>E11</f>
        <v>-21.9</v>
      </c>
    </row>
    <row r="12" ht="20.05" customHeight="1">
      <c r="B12" t="s" s="11">
        <v>11</v>
      </c>
      <c r="C12" s="18">
        <f>C13+C16+C14</f>
        <v>-625.83</v>
      </c>
      <c r="D12" s="19">
        <f>D13+D16+D14</f>
        <v>-606.7277</v>
      </c>
      <c r="E12" s="19">
        <f>E13+E16+E14</f>
        <v>-590.685835</v>
      </c>
      <c r="F12" s="19">
        <f>F13+F16+F14</f>
        <v>-566.37514165</v>
      </c>
    </row>
    <row r="13" ht="20.05" customHeight="1">
      <c r="B13" t="s" s="11">
        <v>12</v>
      </c>
      <c r="C13" s="18">
        <f>-('Balance Sheet '!G32)/20</f>
        <v>-502.35</v>
      </c>
      <c r="D13" s="19">
        <f>-C28/20</f>
        <v>-477.2325</v>
      </c>
      <c r="E13" s="19">
        <f>-D28/20</f>
        <v>-453.370875</v>
      </c>
      <c r="F13" s="19">
        <f>-E28/20</f>
        <v>-430.70233125</v>
      </c>
    </row>
    <row r="14" ht="20.05" customHeight="1">
      <c r="B14" t="s" s="11">
        <v>13</v>
      </c>
      <c r="C14" s="18">
        <f>-MIN(0,C17)</f>
        <v>0</v>
      </c>
      <c r="D14" s="19">
        <f>-MIN(C29,D17)</f>
        <v>0</v>
      </c>
      <c r="E14" s="19">
        <f>-MIN(D29,E17)</f>
        <v>0</v>
      </c>
      <c r="F14" s="19">
        <f>-MIN(E29,F17)</f>
        <v>0</v>
      </c>
    </row>
    <row r="15" ht="20.05" customHeight="1">
      <c r="B15" t="s" s="11">
        <v>14</v>
      </c>
      <c r="C15" s="22">
        <v>0.1</v>
      </c>
      <c r="D15" s="21"/>
      <c r="E15" s="21"/>
      <c r="F15" s="21"/>
    </row>
    <row r="16" ht="20.05" customHeight="1">
      <c r="B16" t="s" s="11">
        <v>15</v>
      </c>
      <c r="C16" s="20">
        <f>IF(C23&gt;0,-C23*$C$15,0)</f>
        <v>-123.48</v>
      </c>
      <c r="D16" s="21">
        <f>IF(D23&gt;0,-D23*$C$15,0)</f>
        <v>-129.4952</v>
      </c>
      <c r="E16" s="21">
        <f>IF(E23&gt;0,-E23*$C$15,0)</f>
        <v>-137.31496</v>
      </c>
      <c r="F16" s="21">
        <f>IF(F23&gt;0,-F23*$C$15,0)</f>
        <v>-135.6728104</v>
      </c>
    </row>
    <row r="17" ht="20.05" customHeight="1">
      <c r="B17" t="s" s="11">
        <v>16</v>
      </c>
      <c r="C17" s="18">
        <f>C9+C10+C13+C16</f>
        <v>288.1075</v>
      </c>
      <c r="D17" s="19">
        <f>D9+D10+D13+D16+D18</f>
        <v>2766.4693</v>
      </c>
      <c r="E17" s="19">
        <f>E9+E10+E13+E16+E18</f>
        <v>3228.070565</v>
      </c>
      <c r="F17" s="19">
        <f>F9+F10+F13+F16+F18</f>
        <v>3697.56102735</v>
      </c>
    </row>
    <row r="18" ht="20.05" customHeight="1">
      <c r="B18" t="s" s="11">
        <v>17</v>
      </c>
      <c r="C18" s="18">
        <f>'Balance Sheet '!C32</f>
        <v>2111</v>
      </c>
      <c r="D18" s="19">
        <f>C20</f>
        <v>2399.1075</v>
      </c>
      <c r="E18" s="19">
        <f>D20</f>
        <v>2766.4693</v>
      </c>
      <c r="F18" s="19">
        <f>E20</f>
        <v>3228.070565</v>
      </c>
    </row>
    <row r="19" ht="20.05" customHeight="1">
      <c r="B19" t="s" s="11">
        <v>18</v>
      </c>
      <c r="C19" s="18">
        <f>C9+C10+C12</f>
        <v>288.1075</v>
      </c>
      <c r="D19" s="19">
        <f>D9+D10+D12</f>
        <v>367.3618</v>
      </c>
      <c r="E19" s="19">
        <f>E9+E10+E12</f>
        <v>461.601265</v>
      </c>
      <c r="F19" s="19">
        <f>F9+F10+F12</f>
        <v>469.49046235</v>
      </c>
    </row>
    <row r="20" ht="20.05" customHeight="1">
      <c r="B20" t="s" s="11">
        <v>19</v>
      </c>
      <c r="C20" s="18">
        <f>C18+C19</f>
        <v>2399.1075</v>
      </c>
      <c r="D20" s="19">
        <f>D18+D19</f>
        <v>2766.4693</v>
      </c>
      <c r="E20" s="19">
        <f>E18+E19</f>
        <v>3228.070565</v>
      </c>
      <c r="F20" s="19">
        <f>F18+F19</f>
        <v>3697.56102735</v>
      </c>
    </row>
    <row r="21" ht="20.05" customHeight="1">
      <c r="B21" t="s" s="23">
        <v>20</v>
      </c>
      <c r="C21" s="24"/>
      <c r="D21" s="21"/>
      <c r="E21" s="21"/>
      <c r="F21" s="25"/>
    </row>
    <row r="22" ht="20.05" customHeight="1">
      <c r="B22" t="s" s="11">
        <v>21</v>
      </c>
      <c r="C22" s="18">
        <f>-AVERAGE('Sales'!F32)</f>
        <v>-269</v>
      </c>
      <c r="D22" s="19">
        <f>C22</f>
        <v>-269</v>
      </c>
      <c r="E22" s="19">
        <f>D22</f>
        <v>-269</v>
      </c>
      <c r="F22" s="19">
        <f>E22</f>
        <v>-269</v>
      </c>
    </row>
    <row r="23" ht="20.05" customHeight="1">
      <c r="B23" t="s" s="11">
        <v>22</v>
      </c>
      <c r="C23" s="20">
        <f>C6+C8+C22</f>
        <v>1234.8</v>
      </c>
      <c r="D23" s="21">
        <f>D6+D8+D22</f>
        <v>1294.952</v>
      </c>
      <c r="E23" s="21">
        <f>E6+E8+E22</f>
        <v>1373.1496</v>
      </c>
      <c r="F23" s="21">
        <f>F6+F8+F22</f>
        <v>1356.728104</v>
      </c>
    </row>
    <row r="24" ht="20.05" customHeight="1">
      <c r="B24" t="s" s="23">
        <v>23</v>
      </c>
      <c r="C24" s="24"/>
      <c r="D24" s="26"/>
      <c r="E24" s="21"/>
      <c r="F24" s="25"/>
    </row>
    <row r="25" ht="20.05" customHeight="1">
      <c r="B25" t="s" s="11">
        <v>24</v>
      </c>
      <c r="C25" s="18">
        <f>'Balance Sheet '!E32+'Balance Sheet '!F32-C10</f>
        <v>43497.8625</v>
      </c>
      <c r="D25" s="19">
        <f>C25-D10</f>
        <v>44087.725</v>
      </c>
      <c r="E25" s="19">
        <f>D25-E10</f>
        <v>44677.5875</v>
      </c>
      <c r="F25" s="19">
        <f>E25-F10</f>
        <v>45267.45</v>
      </c>
    </row>
    <row r="26" ht="20.05" customHeight="1">
      <c r="B26" t="s" s="11">
        <v>25</v>
      </c>
      <c r="C26" s="18">
        <f>'Balance Sheet '!F32-C22</f>
        <v>8900</v>
      </c>
      <c r="D26" s="19">
        <f>C26-D22</f>
        <v>9169</v>
      </c>
      <c r="E26" s="19">
        <f>D26-E22</f>
        <v>9438</v>
      </c>
      <c r="F26" s="19">
        <f>E26-F22</f>
        <v>9707</v>
      </c>
    </row>
    <row r="27" ht="20.05" customHeight="1">
      <c r="B27" t="s" s="11">
        <v>26</v>
      </c>
      <c r="C27" s="18">
        <f>C25-C26</f>
        <v>34597.8625</v>
      </c>
      <c r="D27" s="19">
        <f>D25-D26</f>
        <v>34918.725</v>
      </c>
      <c r="E27" s="19">
        <f>E25-E26</f>
        <v>35239.5875</v>
      </c>
      <c r="F27" s="19">
        <f>F25-F26</f>
        <v>35560.45</v>
      </c>
    </row>
    <row r="28" ht="20.05" customHeight="1">
      <c r="B28" t="s" s="11">
        <v>12</v>
      </c>
      <c r="C28" s="18">
        <f>'Balance Sheet '!G32+C13</f>
        <v>9544.65</v>
      </c>
      <c r="D28" s="19">
        <f>C28+D13</f>
        <v>9067.4175</v>
      </c>
      <c r="E28" s="19">
        <f>D28+E13</f>
        <v>8614.046625000001</v>
      </c>
      <c r="F28" s="19">
        <f>E28+F13</f>
        <v>8183.34429375</v>
      </c>
    </row>
    <row r="29" ht="20.05" customHeight="1">
      <c r="B29" t="s" s="11">
        <v>13</v>
      </c>
      <c r="C29" s="18">
        <f>C14</f>
        <v>0</v>
      </c>
      <c r="D29" s="19">
        <f>C29+D14</f>
        <v>0</v>
      </c>
      <c r="E29" s="19">
        <f>D29+E14</f>
        <v>0</v>
      </c>
      <c r="F29" s="19">
        <f>E29+F14</f>
        <v>0</v>
      </c>
    </row>
    <row r="30" ht="20.05" customHeight="1">
      <c r="B30" t="s" s="11">
        <v>15</v>
      </c>
      <c r="C30" s="18">
        <f>'Balance Sheet '!H32+C23+C16</f>
        <v>27452.32</v>
      </c>
      <c r="D30" s="19">
        <f>C30+D23+D16</f>
        <v>28617.7768</v>
      </c>
      <c r="E30" s="19">
        <f>D30+E23+E16</f>
        <v>29853.61144</v>
      </c>
      <c r="F30" s="19">
        <f>E30+F23+F16</f>
        <v>31074.6667336</v>
      </c>
    </row>
    <row r="31" ht="20.05" customHeight="1">
      <c r="B31" t="s" s="11">
        <v>27</v>
      </c>
      <c r="C31" s="20">
        <f>C28+C29+C30-C20-C27</f>
        <v>0</v>
      </c>
      <c r="D31" s="21">
        <f>D28+D29+D30-D20-D27</f>
        <v>0</v>
      </c>
      <c r="E31" s="21">
        <f>E28+E29+E30-E20-E27</f>
        <v>0</v>
      </c>
      <c r="F31" s="21">
        <f>F28+F29+F30-F20-F27</f>
        <v>0</v>
      </c>
    </row>
    <row r="32" ht="20.05" customHeight="1">
      <c r="B32" t="s" s="11">
        <v>28</v>
      </c>
      <c r="C32" s="20">
        <f>C20-C28-C29</f>
        <v>-7145.5425</v>
      </c>
      <c r="D32" s="21">
        <f>D20-D28-D29</f>
        <v>-6300.9482</v>
      </c>
      <c r="E32" s="21">
        <f>E20-E28-E29</f>
        <v>-5385.97606</v>
      </c>
      <c r="F32" s="21">
        <f>F20-F28-F29</f>
        <v>-4485.7832664</v>
      </c>
    </row>
    <row r="33" ht="20.05" customHeight="1">
      <c r="B33" t="s" s="23">
        <v>29</v>
      </c>
      <c r="C33" s="24"/>
      <c r="D33" s="26"/>
      <c r="E33" s="26"/>
      <c r="F33" s="26"/>
    </row>
    <row r="34" ht="20.05" customHeight="1">
      <c r="B34" t="s" s="11">
        <v>30</v>
      </c>
      <c r="C34" s="20">
        <f>'Cashflow '!M32-C12</f>
        <v>9891.209000000001</v>
      </c>
      <c r="D34" s="21">
        <f>C34-D12</f>
        <v>10497.9367</v>
      </c>
      <c r="E34" s="21">
        <f>D34-E12</f>
        <v>11088.622535</v>
      </c>
      <c r="F34" s="21">
        <f>E34-F12</f>
        <v>11654.99767665</v>
      </c>
    </row>
    <row r="35" ht="20.05" customHeight="1">
      <c r="B35" t="s" s="11">
        <v>31</v>
      </c>
      <c r="C35" s="24"/>
      <c r="D35" s="26"/>
      <c r="E35" s="26"/>
      <c r="F35" s="21">
        <v>80022240624640</v>
      </c>
    </row>
    <row r="36" ht="20.05" customHeight="1">
      <c r="B36" t="s" s="11">
        <v>31</v>
      </c>
      <c r="C36" s="24"/>
      <c r="D36" s="26"/>
      <c r="E36" s="26"/>
      <c r="F36" s="21">
        <f>F35/1000000000</f>
        <v>80022.240624640006</v>
      </c>
    </row>
    <row r="37" ht="20.05" customHeight="1">
      <c r="B37" t="s" s="11">
        <v>32</v>
      </c>
      <c r="C37" s="27"/>
      <c r="D37" s="25"/>
      <c r="E37" s="25"/>
      <c r="F37" s="28">
        <f>F36/(F20+F27)</f>
        <v>2.03836716457415</v>
      </c>
    </row>
    <row r="38" ht="20.05" customHeight="1">
      <c r="B38" t="s" s="11">
        <v>33</v>
      </c>
      <c r="C38" s="27"/>
      <c r="D38" s="25"/>
      <c r="E38" s="25"/>
      <c r="F38" s="17">
        <f>-(C16+D16+E16+F16)/F36</f>
        <v>0.00657270986533772</v>
      </c>
    </row>
    <row r="39" ht="20.05" customHeight="1">
      <c r="B39" t="s" s="11">
        <v>34</v>
      </c>
      <c r="C39" s="27"/>
      <c r="D39" s="25"/>
      <c r="E39" s="25"/>
      <c r="F39" s="21">
        <f>SUM(C9:F11)</f>
        <v>3888.579704</v>
      </c>
    </row>
    <row r="40" ht="20.05" customHeight="1">
      <c r="B40" t="s" s="11">
        <v>35</v>
      </c>
      <c r="C40" s="27"/>
      <c r="D40" s="25"/>
      <c r="E40" s="25"/>
      <c r="F40" s="21">
        <f>'Balance Sheet '!E32/F39</f>
        <v>8.814786531118511</v>
      </c>
    </row>
    <row r="41" ht="20.05" customHeight="1">
      <c r="B41" t="s" s="11">
        <v>29</v>
      </c>
      <c r="C41" s="27"/>
      <c r="D41" s="25"/>
      <c r="E41" s="25"/>
      <c r="F41" s="21">
        <f>F36/F39</f>
        <v>20.5787836989235</v>
      </c>
    </row>
    <row r="42" ht="20.05" customHeight="1">
      <c r="B42" t="s" s="11">
        <v>36</v>
      </c>
      <c r="C42" s="27"/>
      <c r="D42" s="25"/>
      <c r="E42" s="25"/>
      <c r="F42" s="26">
        <v>27</v>
      </c>
    </row>
    <row r="43" ht="20.05" customHeight="1">
      <c r="B43" t="s" s="11">
        <v>37</v>
      </c>
      <c r="C43" s="27"/>
      <c r="D43" s="25"/>
      <c r="E43" s="25"/>
      <c r="F43" s="21">
        <f>F39*F42</f>
        <v>104991.652008</v>
      </c>
    </row>
    <row r="44" ht="20.05" customHeight="1">
      <c r="B44" t="s" s="11">
        <v>38</v>
      </c>
      <c r="C44" s="27"/>
      <c r="D44" s="25"/>
      <c r="E44" s="25"/>
      <c r="F44" s="21">
        <f>F36/F46</f>
        <v>16.398000128</v>
      </c>
    </row>
    <row r="45" ht="20.05" customHeight="1">
      <c r="B45" t="s" s="11">
        <v>39</v>
      </c>
      <c r="C45" s="27"/>
      <c r="D45" s="25"/>
      <c r="E45" s="25"/>
      <c r="F45" s="21">
        <f>F43/F44</f>
        <v>6402.710768901880</v>
      </c>
    </row>
    <row r="46" ht="20.05" customHeight="1">
      <c r="B46" t="s" s="11">
        <v>40</v>
      </c>
      <c r="C46" s="27"/>
      <c r="D46" s="25"/>
      <c r="E46" s="25"/>
      <c r="F46" s="21">
        <v>4880</v>
      </c>
    </row>
    <row r="47" ht="20.05" customHeight="1">
      <c r="B47" t="s" s="11">
        <v>41</v>
      </c>
      <c r="C47" s="27"/>
      <c r="D47" s="25"/>
      <c r="E47" s="25"/>
      <c r="F47" s="17">
        <f>F45/F46-1</f>
        <v>0.312030895266779</v>
      </c>
    </row>
    <row r="48" ht="20.05" customHeight="1">
      <c r="B48" t="s" s="11">
        <v>42</v>
      </c>
      <c r="C48" s="27"/>
      <c r="D48" s="25"/>
      <c r="E48" s="25"/>
      <c r="F48" s="17">
        <f>'Sales'!C31/'Sales'!C27-1</f>
        <v>0.326933027272642</v>
      </c>
    </row>
    <row r="49" ht="20.05" customHeight="1">
      <c r="B49" t="s" s="11">
        <v>43</v>
      </c>
      <c r="C49" s="27"/>
      <c r="D49" s="25"/>
      <c r="E49" s="25"/>
      <c r="F49" s="17">
        <f>'Sales'!H35/'Sales'!G35-1</f>
        <v>0.193280839529252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0156" style="29" customWidth="1"/>
    <col min="2" max="2" width="11" style="29" customWidth="1"/>
    <col min="3" max="4" width="11.3828" style="29" customWidth="1"/>
    <col min="5" max="6" width="12.7422" style="29" customWidth="1"/>
    <col min="7" max="10" width="11.3828" style="29" customWidth="1"/>
    <col min="11" max="16384" width="16.3516" style="29" customWidth="1"/>
  </cols>
  <sheetData>
    <row r="1" ht="31.45" customHeight="1"/>
    <row r="2" ht="27.65" customHeight="1">
      <c r="B2" t="s" s="2">
        <v>44</v>
      </c>
      <c r="C2" s="2"/>
      <c r="D2" s="2"/>
      <c r="E2" s="2"/>
      <c r="F2" s="2"/>
      <c r="G2" s="2"/>
      <c r="H2" s="2"/>
      <c r="I2" s="2"/>
      <c r="J2" s="2"/>
    </row>
    <row r="3" ht="37.5" customHeight="1">
      <c r="B3" t="s" s="30">
        <v>1</v>
      </c>
      <c r="C3" t="s" s="30">
        <v>5</v>
      </c>
      <c r="D3" t="s" s="30">
        <v>36</v>
      </c>
      <c r="E3" t="s" s="31">
        <v>22</v>
      </c>
      <c r="F3" t="s" s="31">
        <v>21</v>
      </c>
      <c r="G3" t="s" s="30">
        <v>45</v>
      </c>
      <c r="H3" t="s" s="30">
        <v>46</v>
      </c>
      <c r="I3" t="s" s="30">
        <v>46</v>
      </c>
      <c r="J3" t="s" s="30">
        <v>36</v>
      </c>
    </row>
    <row r="4" ht="20.25" customHeight="1">
      <c r="B4" s="32">
        <v>2015</v>
      </c>
      <c r="C4" s="33">
        <v>7533.33</v>
      </c>
      <c r="D4" s="9"/>
      <c r="E4" s="34">
        <v>431.27</v>
      </c>
      <c r="F4" s="34">
        <v>151</v>
      </c>
      <c r="G4" s="10"/>
      <c r="H4" s="35">
        <f>(E4+F4-C4)/C4</f>
        <v>-0.922707487923667</v>
      </c>
      <c r="I4" s="35"/>
      <c r="J4" s="35"/>
    </row>
    <row r="5" ht="20.05" customHeight="1">
      <c r="B5" s="36"/>
      <c r="C5" s="37">
        <v>7720.77</v>
      </c>
      <c r="D5" s="25"/>
      <c r="E5" s="21">
        <v>527.97</v>
      </c>
      <c r="F5" s="21">
        <v>169</v>
      </c>
      <c r="G5" s="38">
        <f>C5/C4-1</f>
        <v>0.0248814269386845</v>
      </c>
      <c r="H5" s="17">
        <f>(E5+F5-C5)/C5</f>
        <v>-0.909727915738974</v>
      </c>
      <c r="I5" s="17"/>
      <c r="J5" s="17"/>
    </row>
    <row r="6" ht="20.05" customHeight="1">
      <c r="B6" s="36"/>
      <c r="C6" s="37">
        <v>7261.9</v>
      </c>
      <c r="D6" s="25"/>
      <c r="E6" s="21">
        <v>290.25</v>
      </c>
      <c r="F6" s="21">
        <v>178</v>
      </c>
      <c r="G6" s="38">
        <f>C6/C5-1</f>
        <v>-0.0594331912490594</v>
      </c>
      <c r="H6" s="17">
        <f>(E6+F6-C6)/C6</f>
        <v>-0.935519629848938</v>
      </c>
      <c r="I6" s="17"/>
      <c r="J6" s="17"/>
    </row>
    <row r="7" ht="20.05" customHeight="1">
      <c r="B7" s="36"/>
      <c r="C7" s="37">
        <v>7404.6</v>
      </c>
      <c r="D7" s="25"/>
      <c r="E7" s="21">
        <v>583.1</v>
      </c>
      <c r="F7" s="21">
        <v>188</v>
      </c>
      <c r="G7" s="38">
        <f>C7/C6-1</f>
        <v>0.0196505046888555</v>
      </c>
      <c r="H7" s="17">
        <f>(E7+F7-C7)/C7</f>
        <v>-0.895862031710018</v>
      </c>
      <c r="I7" s="17"/>
      <c r="J7" s="17"/>
    </row>
    <row r="8" ht="20.05" customHeight="1">
      <c r="B8" s="39">
        <v>2016</v>
      </c>
      <c r="C8" s="37">
        <v>9008.33</v>
      </c>
      <c r="D8" s="25"/>
      <c r="E8" s="21">
        <v>764.78</v>
      </c>
      <c r="F8" s="21">
        <v>201</v>
      </c>
      <c r="G8" s="38">
        <f>C8/C7-1</f>
        <v>0.216585635956027</v>
      </c>
      <c r="H8" s="17">
        <f>(E8+F8-C8)/C8</f>
        <v>-0.892790339607896</v>
      </c>
      <c r="I8" s="25"/>
      <c r="J8" s="25"/>
    </row>
    <row r="9" ht="20.05" customHeight="1">
      <c r="B9" s="36"/>
      <c r="C9" s="37">
        <v>9851.67</v>
      </c>
      <c r="D9" s="25"/>
      <c r="E9" s="21">
        <v>973.54</v>
      </c>
      <c r="F9" s="21">
        <v>205</v>
      </c>
      <c r="G9" s="38">
        <f>C9/C8-1</f>
        <v>0.0936177959732825</v>
      </c>
      <c r="H9" s="17">
        <f>(E9+F9-C9)/C9</f>
        <v>-0.880371551219235</v>
      </c>
      <c r="I9" s="25"/>
      <c r="J9" s="25"/>
    </row>
    <row r="10" ht="20.05" customHeight="1">
      <c r="B10" s="36"/>
      <c r="C10" s="37">
        <v>9274.35</v>
      </c>
      <c r="D10" s="25"/>
      <c r="E10" s="21">
        <v>764.6799999999999</v>
      </c>
      <c r="F10" s="21">
        <v>204</v>
      </c>
      <c r="G10" s="38">
        <f>C10/C9-1</f>
        <v>-0.058601232075374</v>
      </c>
      <c r="H10" s="17">
        <f>(E10+F10-C10)/C10</f>
        <v>-0.89555278806601</v>
      </c>
      <c r="I10" s="25"/>
      <c r="J10" s="25"/>
    </row>
    <row r="11" ht="20.05" customHeight="1">
      <c r="B11" s="36"/>
      <c r="C11" s="37">
        <v>10122.5</v>
      </c>
      <c r="D11" s="25"/>
      <c r="E11" s="21">
        <v>-251.2</v>
      </c>
      <c r="F11" s="21">
        <v>158</v>
      </c>
      <c r="G11" s="38">
        <f>C11/C10-1</f>
        <v>0.0914511529109857</v>
      </c>
      <c r="H11" s="17">
        <f>(E11+F11-C11)/C11</f>
        <v>-1.0092072116572</v>
      </c>
      <c r="I11" s="25"/>
      <c r="J11" s="25"/>
    </row>
    <row r="12" ht="20.05" customHeight="1">
      <c r="B12" s="39">
        <v>2017</v>
      </c>
      <c r="C12" s="37">
        <v>12013.56</v>
      </c>
      <c r="D12" s="25"/>
      <c r="E12" s="21">
        <v>625.4400000000001</v>
      </c>
      <c r="F12" s="21">
        <v>212</v>
      </c>
      <c r="G12" s="38">
        <f>C12/C11-1</f>
        <v>0.186817485798963</v>
      </c>
      <c r="H12" s="17">
        <f>(E12+F12-C12)/C12</f>
        <v>-0.930292103256653</v>
      </c>
      <c r="I12" s="25"/>
      <c r="J12" s="25"/>
    </row>
    <row r="13" ht="20.05" customHeight="1">
      <c r="B13" s="36"/>
      <c r="C13" s="37">
        <v>12923.21</v>
      </c>
      <c r="D13" s="25"/>
      <c r="E13" s="21">
        <v>897.54</v>
      </c>
      <c r="F13" s="21">
        <v>204</v>
      </c>
      <c r="G13" s="38">
        <f>C13/C12-1</f>
        <v>0.0757186046434196</v>
      </c>
      <c r="H13" s="17">
        <f>(E13+F13-C13)/C13</f>
        <v>-0.914762663455906</v>
      </c>
      <c r="I13" s="25"/>
      <c r="J13" s="25"/>
    </row>
    <row r="14" ht="20.05" customHeight="1">
      <c r="B14" s="36"/>
      <c r="C14" s="37">
        <v>12542.53</v>
      </c>
      <c r="D14" s="25"/>
      <c r="E14" s="21">
        <v>411.36</v>
      </c>
      <c r="F14" s="21">
        <v>210</v>
      </c>
      <c r="G14" s="38">
        <f>C14/C13-1</f>
        <v>-0.0294570776146174</v>
      </c>
      <c r="H14" s="17">
        <f>(E14+F14-C14)/C14</f>
        <v>-0.9504597557271141</v>
      </c>
      <c r="I14" s="25"/>
      <c r="J14" s="25"/>
    </row>
    <row r="15" ht="20.05" customHeight="1">
      <c r="B15" s="36"/>
      <c r="C15" s="37">
        <v>11888.08</v>
      </c>
      <c r="D15" s="25"/>
      <c r="E15" s="21">
        <v>565.46</v>
      </c>
      <c r="F15" s="21">
        <v>258</v>
      </c>
      <c r="G15" s="38">
        <f>C15/C14-1</f>
        <v>-0.052178467980543</v>
      </c>
      <c r="H15" s="17">
        <f>(E15+F15-C15)/C15</f>
        <v>-0.930732296552513</v>
      </c>
      <c r="I15" s="25"/>
      <c r="J15" s="25"/>
    </row>
    <row r="16" ht="20.05" customHeight="1">
      <c r="B16" s="39">
        <v>2018</v>
      </c>
      <c r="C16" s="37">
        <v>11855.1</v>
      </c>
      <c r="D16" s="25"/>
      <c r="E16" s="21">
        <v>991.72</v>
      </c>
      <c r="F16" s="21">
        <v>223</v>
      </c>
      <c r="G16" s="38">
        <f>C16/C15-1</f>
        <v>-0.00277420744140349</v>
      </c>
      <c r="H16" s="17">
        <f>(E16+F16-C16)/C16</f>
        <v>-0.897536081517659</v>
      </c>
      <c r="I16" s="17">
        <f>AVERAGE(H13:H16)</f>
        <v>-0.923372699313298</v>
      </c>
      <c r="J16" s="17"/>
    </row>
    <row r="17" ht="20.05" customHeight="1">
      <c r="B17" s="36"/>
      <c r="C17" s="37">
        <v>13757.5</v>
      </c>
      <c r="D17" s="25"/>
      <c r="E17" s="21">
        <v>1443.58</v>
      </c>
      <c r="F17" s="21">
        <v>223</v>
      </c>
      <c r="G17" s="38">
        <f>C17/C16-1</f>
        <v>0.160471020910832</v>
      </c>
      <c r="H17" s="17">
        <f>(E17+F17-C17)/C17</f>
        <v>-0.878860258041069</v>
      </c>
      <c r="I17" s="17">
        <f>AVERAGE(H14:H17)</f>
        <v>-0.914397097959589</v>
      </c>
      <c r="J17" s="17"/>
    </row>
    <row r="18" ht="20.05" customHeight="1">
      <c r="B18" s="36"/>
      <c r="C18" s="37">
        <v>13772.4</v>
      </c>
      <c r="D18" s="25"/>
      <c r="E18" s="21">
        <v>1028.7</v>
      </c>
      <c r="F18" s="21">
        <v>209</v>
      </c>
      <c r="G18" s="38">
        <f>C18/C17-1</f>
        <v>0.00108304561148464</v>
      </c>
      <c r="H18" s="17">
        <f>(E18+F18-C18)/C18</f>
        <v>-0.910131857918736</v>
      </c>
      <c r="I18" s="17">
        <f>AVERAGE(H15:H18)</f>
        <v>-0.904315123507494</v>
      </c>
      <c r="J18" s="17"/>
    </row>
    <row r="19" ht="20.05" customHeight="1">
      <c r="B19" s="36"/>
      <c r="C19" s="37">
        <v>14572.6</v>
      </c>
      <c r="D19" s="25"/>
      <c r="E19" s="21">
        <v>1087.48</v>
      </c>
      <c r="F19" s="21">
        <v>249</v>
      </c>
      <c r="G19" s="38">
        <f>C19/C18-1</f>
        <v>0.0581017106677122</v>
      </c>
      <c r="H19" s="17">
        <f>(E19+F19-C19)/C19</f>
        <v>-0.908288157226576</v>
      </c>
      <c r="I19" s="17">
        <f>AVERAGE(H16:H19)</f>
        <v>-0.89870408867601</v>
      </c>
      <c r="J19" s="17"/>
    </row>
    <row r="20" ht="20.05" customHeight="1">
      <c r="B20" s="39">
        <v>2019</v>
      </c>
      <c r="C20" s="37">
        <v>14455.25</v>
      </c>
      <c r="D20" s="25"/>
      <c r="E20" s="21">
        <v>812.27</v>
      </c>
      <c r="F20" s="21">
        <v>217</v>
      </c>
      <c r="G20" s="38">
        <f>C20/C19-1</f>
        <v>-0.008052783991875159</v>
      </c>
      <c r="H20" s="17">
        <f>(E20+F20-C20)/C20</f>
        <v>-0.928796112139188</v>
      </c>
      <c r="I20" s="17">
        <f>AVERAGE(H17:H20)</f>
        <v>-0.906519096331392</v>
      </c>
      <c r="J20" s="17"/>
    </row>
    <row r="21" ht="20.05" customHeight="1">
      <c r="B21" s="36"/>
      <c r="C21" s="37">
        <v>15118.15</v>
      </c>
      <c r="D21" s="25"/>
      <c r="E21" s="21">
        <v>916.03</v>
      </c>
      <c r="F21" s="21">
        <v>222</v>
      </c>
      <c r="G21" s="38">
        <f>C21/C20-1</f>
        <v>0.0458587710347452</v>
      </c>
      <c r="H21" s="17">
        <f>(E21+F21-C21)/C21</f>
        <v>-0.924724255282558</v>
      </c>
      <c r="I21" s="17">
        <f>AVERAGE(H18:H21)</f>
        <v>-0.917985095641765</v>
      </c>
      <c r="J21" s="17"/>
    </row>
    <row r="22" ht="20.05" customHeight="1">
      <c r="B22" s="36"/>
      <c r="C22" s="37">
        <v>14325.6</v>
      </c>
      <c r="D22" s="25"/>
      <c r="E22" s="21">
        <v>837.4</v>
      </c>
      <c r="F22" s="21">
        <v>212</v>
      </c>
      <c r="G22" s="38">
        <f>C22/C21-1</f>
        <v>-0.0524237423229694</v>
      </c>
      <c r="H22" s="17">
        <f>(E22+F22-C22)/C22</f>
        <v>-0.926746523705813</v>
      </c>
      <c r="I22" s="17">
        <f>AVERAGE(H19:H22)</f>
        <v>-0.922138762088534</v>
      </c>
      <c r="J22" s="17"/>
    </row>
    <row r="23" ht="20.05" customHeight="1">
      <c r="B23" s="36"/>
      <c r="C23" s="37">
        <v>14735</v>
      </c>
      <c r="D23" s="25"/>
      <c r="E23" s="21">
        <v>1066.3</v>
      </c>
      <c r="F23" s="21">
        <v>219</v>
      </c>
      <c r="G23" s="38">
        <f>C23/C22-1</f>
        <v>0.0285782096386888</v>
      </c>
      <c r="H23" s="17">
        <f>(E23+F23-C23)/C23</f>
        <v>-0.912772310824567</v>
      </c>
      <c r="I23" s="17">
        <f>AVERAGE(H20:H23)</f>
        <v>-0.923259800488032</v>
      </c>
      <c r="J23" s="17"/>
    </row>
    <row r="24" ht="20.05" customHeight="1">
      <c r="B24" s="39">
        <v>2020</v>
      </c>
      <c r="C24" s="37">
        <v>10022</v>
      </c>
      <c r="D24" s="40">
        <v>15900.775</v>
      </c>
      <c r="E24" s="21">
        <v>920.6</v>
      </c>
      <c r="F24" s="21">
        <v>214</v>
      </c>
      <c r="G24" s="38">
        <f>C24/C23-1</f>
        <v>-0.319850695622667</v>
      </c>
      <c r="H24" s="17">
        <f>(E24+F24-C24)/C24</f>
        <v>-0.88678906405907</v>
      </c>
      <c r="I24" s="17">
        <f>AVERAGE(H21:H24)</f>
        <v>-0.912758038468002</v>
      </c>
      <c r="J24" s="17"/>
    </row>
    <row r="25" ht="20.05" customHeight="1">
      <c r="B25" s="36"/>
      <c r="C25" s="37">
        <v>9751</v>
      </c>
      <c r="D25" s="40">
        <v>14815.787</v>
      </c>
      <c r="E25" s="21">
        <v>730.1</v>
      </c>
      <c r="F25" s="21">
        <v>225</v>
      </c>
      <c r="G25" s="38">
        <f>C25/C24-1</f>
        <v>-0.0270405108760726</v>
      </c>
      <c r="H25" s="17">
        <f>(E25+F25-C25)/C25</f>
        <v>-0.902051071684955</v>
      </c>
      <c r="I25" s="17">
        <f>AVERAGE(H22:H25)</f>
        <v>-0.907089742568601</v>
      </c>
      <c r="J25" s="17"/>
    </row>
    <row r="26" ht="20.05" customHeight="1">
      <c r="B26" s="36"/>
      <c r="C26" s="37">
        <v>14505.025</v>
      </c>
      <c r="D26" s="40">
        <v>14039.088</v>
      </c>
      <c r="E26" s="21">
        <v>628</v>
      </c>
      <c r="F26" s="21">
        <v>213.8</v>
      </c>
      <c r="G26" s="38">
        <f>C26/C25-1</f>
        <v>0.487542303353502</v>
      </c>
      <c r="H26" s="17">
        <f>(E26+F26-C26)/C26</f>
        <v>-0.9419649397364021</v>
      </c>
      <c r="I26" s="17">
        <f>AVERAGE(H23:H26)</f>
        <v>-0.910894346576249</v>
      </c>
      <c r="J26" s="17"/>
    </row>
    <row r="27" ht="20.05" customHeight="1">
      <c r="B27" s="36"/>
      <c r="C27" s="37">
        <v>10629.7</v>
      </c>
      <c r="D27" s="40">
        <v>14940.17575</v>
      </c>
      <c r="E27" s="21">
        <v>1567.1</v>
      </c>
      <c r="F27" s="21">
        <v>210.1</v>
      </c>
      <c r="G27" s="38">
        <f>C27/C26-1</f>
        <v>-0.267171204461902</v>
      </c>
      <c r="H27" s="17">
        <f>(E27+F27-C27)/C27</f>
        <v>-0.832808075486608</v>
      </c>
      <c r="I27" s="17">
        <f>AVERAGE(H24:H27)</f>
        <v>-0.890903287741759</v>
      </c>
      <c r="J27" s="17"/>
    </row>
    <row r="28" ht="20.05" customHeight="1">
      <c r="B28" s="39">
        <v>2021</v>
      </c>
      <c r="C28" s="37">
        <v>12405.3</v>
      </c>
      <c r="D28" s="40">
        <v>15687.1845375</v>
      </c>
      <c r="E28" s="21">
        <v>1455</v>
      </c>
      <c r="F28" s="21">
        <v>232.2</v>
      </c>
      <c r="G28" s="38">
        <f>C28/C27-1</f>
        <v>0.167041402861793</v>
      </c>
      <c r="H28" s="17">
        <f>(E28+F28-C28)/C28</f>
        <v>-0.863993615632028</v>
      </c>
      <c r="I28" s="17">
        <f>AVERAGE(H25:H28)</f>
        <v>-0.885204425634998</v>
      </c>
      <c r="J28" s="17"/>
    </row>
    <row r="29" ht="20.05" customHeight="1">
      <c r="B29" s="36"/>
      <c r="C29" s="37">
        <f>25469-C28</f>
        <v>13063.7</v>
      </c>
      <c r="D29" s="40">
        <v>13149.618</v>
      </c>
      <c r="E29" s="21">
        <v>1378.3</v>
      </c>
      <c r="F29" s="21">
        <v>241.7</v>
      </c>
      <c r="G29" s="38">
        <f>C29/C28-1</f>
        <v>0.0530740893005409</v>
      </c>
      <c r="H29" s="17">
        <f>(E29+F29-C29)/C29</f>
        <v>-0.8759922533432341</v>
      </c>
      <c r="I29" s="17">
        <f>AVERAGE(H26:H29)</f>
        <v>-0.878689721049568</v>
      </c>
      <c r="J29" s="17"/>
    </row>
    <row r="30" ht="20.05" customHeight="1">
      <c r="B30" s="36"/>
      <c r="C30" s="37">
        <f>37593.3-SUM(C28:C29)</f>
        <v>12124.3</v>
      </c>
      <c r="D30" s="40">
        <v>12802.426</v>
      </c>
      <c r="E30" s="21">
        <v>-158.2</v>
      </c>
      <c r="F30" s="21">
        <v>247.3</v>
      </c>
      <c r="G30" s="38">
        <f>C30/C29-1</f>
        <v>-0.0719091834625719</v>
      </c>
      <c r="H30" s="17">
        <f>(E30+F30-C30)/C30</f>
        <v>-0.992651122126638</v>
      </c>
      <c r="I30" s="17">
        <f>AVERAGE(H27:H30)</f>
        <v>-0.891361266647127</v>
      </c>
      <c r="J30" s="17"/>
    </row>
    <row r="31" ht="20.05" customHeight="1">
      <c r="B31" s="36"/>
      <c r="C31" s="37">
        <f>51698.2-SUM(C28:C30)</f>
        <v>14104.9</v>
      </c>
      <c r="D31" s="40">
        <v>13942.945</v>
      </c>
      <c r="E31" s="21">
        <v>943.9</v>
      </c>
      <c r="F31" s="21">
        <v>260.2</v>
      </c>
      <c r="G31" s="38">
        <f>C31/C30-1</f>
        <v>0.163357884578904</v>
      </c>
      <c r="H31" s="17">
        <f>(E31+F31-C31)/C31</f>
        <v>-0.91463250359804</v>
      </c>
      <c r="I31" s="17">
        <f>AVERAGE(H28:H31)</f>
        <v>-0.9118173736749851</v>
      </c>
      <c r="J31" s="17"/>
    </row>
    <row r="32" ht="20.05" customHeight="1">
      <c r="B32" s="39">
        <v>2022</v>
      </c>
      <c r="C32" s="37">
        <v>14295.4</v>
      </c>
      <c r="D32" s="40">
        <v>13963.851</v>
      </c>
      <c r="E32" s="21">
        <v>1191</v>
      </c>
      <c r="F32" s="21">
        <v>269</v>
      </c>
      <c r="G32" s="38">
        <f>C32/C31-1</f>
        <v>0.0135059447426072</v>
      </c>
      <c r="H32" s="17">
        <f>(E32+F32-C32)/C32</f>
        <v>-0.897869244652126</v>
      </c>
      <c r="I32" s="17">
        <f>AVERAGE(H29:H32)</f>
        <v>-0.92028628093001</v>
      </c>
      <c r="J32" s="17">
        <v>-0.891361266647127</v>
      </c>
    </row>
    <row r="33" ht="20.05" customHeight="1">
      <c r="B33" s="36"/>
      <c r="C33" s="37"/>
      <c r="D33" s="40">
        <f>'Model'!C6</f>
        <v>14724.262</v>
      </c>
      <c r="E33" s="21"/>
      <c r="F33" s="21"/>
      <c r="G33" s="17"/>
      <c r="H33" s="25"/>
      <c r="I33" s="25"/>
      <c r="J33" s="17">
        <f>'Model'!C7</f>
        <v>-0.897869244652126</v>
      </c>
    </row>
    <row r="34" ht="20.05" customHeight="1">
      <c r="B34" s="36"/>
      <c r="C34" s="37"/>
      <c r="D34" s="40">
        <f>'Model'!D6</f>
        <v>15313.23248</v>
      </c>
      <c r="E34" s="25"/>
      <c r="F34" s="25"/>
      <c r="G34" s="38"/>
      <c r="H34" s="38"/>
      <c r="I34" s="17"/>
      <c r="J34" s="17"/>
    </row>
    <row r="35" ht="20.05" customHeight="1">
      <c r="B35" s="36"/>
      <c r="C35" s="37"/>
      <c r="D35" s="40">
        <f>'Model'!E6</f>
        <v>16078.894104</v>
      </c>
      <c r="E35" s="25"/>
      <c r="F35" s="25"/>
      <c r="G35" s="40">
        <f>SUM(C24:C31)</f>
        <v>96605.925</v>
      </c>
      <c r="H35" s="40">
        <f>SUM(D24:D31)</f>
        <v>115277.9992875</v>
      </c>
      <c r="I35" s="17"/>
      <c r="J35" s="17"/>
    </row>
    <row r="36" ht="20.05" customHeight="1">
      <c r="B36" s="39">
        <v>2023</v>
      </c>
      <c r="C36" s="37"/>
      <c r="D36" s="40">
        <f>'Model'!F6</f>
        <v>15918.10516296</v>
      </c>
      <c r="E36" s="25"/>
      <c r="F36" s="25"/>
      <c r="G36" s="38"/>
      <c r="H36" s="38"/>
      <c r="I36" s="17"/>
      <c r="J36" s="17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51562" style="41" customWidth="1"/>
    <col min="2" max="2" width="7.47656" style="41" customWidth="1"/>
    <col min="3" max="4" width="10.1094" style="41" customWidth="1"/>
    <col min="5" max="5" width="11.3984" style="41" customWidth="1"/>
    <col min="6" max="15" width="8.89844" style="41" customWidth="1"/>
    <col min="16" max="16384" width="16.3516" style="41" customWidth="1"/>
  </cols>
  <sheetData>
    <row r="1" ht="12.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30">
        <v>1</v>
      </c>
      <c r="C3" t="s" s="30">
        <v>47</v>
      </c>
      <c r="D3" t="s" s="30">
        <v>8</v>
      </c>
      <c r="E3" t="s" s="30">
        <v>48</v>
      </c>
      <c r="F3" t="s" s="30">
        <v>10</v>
      </c>
      <c r="G3" t="s" s="30">
        <v>12</v>
      </c>
      <c r="H3" t="s" s="30">
        <v>15</v>
      </c>
      <c r="I3" t="s" s="30">
        <v>11</v>
      </c>
      <c r="J3" t="s" s="30">
        <v>49</v>
      </c>
      <c r="K3" t="s" s="30">
        <v>3</v>
      </c>
      <c r="L3" t="s" s="30">
        <v>36</v>
      </c>
      <c r="M3" t="s" s="30">
        <v>50</v>
      </c>
      <c r="N3" t="s" s="30">
        <v>36</v>
      </c>
      <c r="O3" s="42"/>
    </row>
    <row r="4" ht="18.75" customHeight="1">
      <c r="B4" s="32">
        <v>2015</v>
      </c>
      <c r="C4" s="43"/>
      <c r="D4" s="34">
        <v>-485.8</v>
      </c>
      <c r="E4" s="34">
        <v>-1049.38</v>
      </c>
      <c r="F4" s="34"/>
      <c r="G4" s="34"/>
      <c r="H4" s="34"/>
      <c r="I4" s="34">
        <v>1509.8</v>
      </c>
      <c r="J4" s="34">
        <f>D4+E4</f>
        <v>-1535.18</v>
      </c>
      <c r="K4" s="44"/>
      <c r="L4" s="34"/>
      <c r="M4" s="34">
        <f>-I4</f>
        <v>-1509.8</v>
      </c>
      <c r="N4" s="34"/>
      <c r="O4" s="34">
        <v>1</v>
      </c>
    </row>
    <row r="5" ht="18.75" customHeight="1">
      <c r="B5" s="36"/>
      <c r="C5" s="20"/>
      <c r="D5" s="21">
        <v>866.3200000000001</v>
      </c>
      <c r="E5" s="21">
        <v>-582.88</v>
      </c>
      <c r="F5" s="21"/>
      <c r="G5" s="21"/>
      <c r="H5" s="21"/>
      <c r="I5" s="21">
        <v>194.88</v>
      </c>
      <c r="J5" s="21">
        <f>D5+E5</f>
        <v>283.44</v>
      </c>
      <c r="K5" s="26"/>
      <c r="L5" s="21"/>
      <c r="M5" s="21">
        <f>-I5+M4</f>
        <v>-1704.68</v>
      </c>
      <c r="N5" s="21"/>
      <c r="O5" s="21">
        <f>1+O4</f>
        <v>2</v>
      </c>
    </row>
    <row r="6" ht="18.75" customHeight="1">
      <c r="B6" s="36"/>
      <c r="C6" s="20"/>
      <c r="D6" s="21">
        <v>1000.91</v>
      </c>
      <c r="E6" s="21">
        <v>-373.79</v>
      </c>
      <c r="F6" s="21"/>
      <c r="G6" s="21"/>
      <c r="H6" s="21"/>
      <c r="I6" s="21">
        <v>-642.49</v>
      </c>
      <c r="J6" s="21">
        <f>D6+E6</f>
        <v>627.12</v>
      </c>
      <c r="K6" s="26"/>
      <c r="L6" s="21"/>
      <c r="M6" s="21">
        <f>-I6+M5</f>
        <v>-1062.19</v>
      </c>
      <c r="N6" s="21"/>
      <c r="O6" s="21">
        <f>1+O5</f>
        <v>3</v>
      </c>
    </row>
    <row r="7" ht="18.75" customHeight="1">
      <c r="B7" s="36"/>
      <c r="C7" s="20"/>
      <c r="D7" s="21">
        <v>400.97</v>
      </c>
      <c r="E7" s="21">
        <v>61.72</v>
      </c>
      <c r="F7" s="21"/>
      <c r="G7" s="21"/>
      <c r="H7" s="21"/>
      <c r="I7" s="21">
        <v>46.78</v>
      </c>
      <c r="J7" s="21">
        <f>D7+E7</f>
        <v>462.69</v>
      </c>
      <c r="K7" s="26"/>
      <c r="L7" s="21"/>
      <c r="M7" s="21">
        <f>-I7+M6</f>
        <v>-1108.97</v>
      </c>
      <c r="N7" s="21"/>
      <c r="O7" s="21">
        <f>1+O6</f>
        <v>4</v>
      </c>
    </row>
    <row r="8" ht="18.75" customHeight="1">
      <c r="B8" s="39">
        <v>2016</v>
      </c>
      <c r="C8" s="20"/>
      <c r="D8" s="21">
        <v>679.5599999999999</v>
      </c>
      <c r="E8" s="21">
        <v>-419.67</v>
      </c>
      <c r="F8" s="21"/>
      <c r="G8" s="21"/>
      <c r="H8" s="21"/>
      <c r="I8" s="21">
        <v>-655.92</v>
      </c>
      <c r="J8" s="21">
        <f>D8+E8</f>
        <v>259.89</v>
      </c>
      <c r="K8" s="21">
        <f>AVERAGE(J5:J8)</f>
        <v>408.285</v>
      </c>
      <c r="L8" s="21"/>
      <c r="M8" s="21">
        <f>-I8+M7</f>
        <v>-453.05</v>
      </c>
      <c r="N8" s="21"/>
      <c r="O8" s="21">
        <f>1+O7</f>
        <v>5</v>
      </c>
    </row>
    <row r="9" ht="18.75" customHeight="1">
      <c r="B9" s="36"/>
      <c r="C9" s="20"/>
      <c r="D9" s="21">
        <v>672.03</v>
      </c>
      <c r="E9" s="21">
        <v>33.39</v>
      </c>
      <c r="F9" s="21"/>
      <c r="G9" s="21"/>
      <c r="H9" s="21"/>
      <c r="I9" s="21">
        <v>-38.57</v>
      </c>
      <c r="J9" s="21">
        <f>D9+E9</f>
        <v>705.42</v>
      </c>
      <c r="K9" s="21">
        <f>AVERAGE(J6:J9)</f>
        <v>513.78</v>
      </c>
      <c r="L9" s="21"/>
      <c r="M9" s="21">
        <f>-I9+M8</f>
        <v>-414.48</v>
      </c>
      <c r="N9" s="21"/>
      <c r="O9" s="21">
        <f>1+O8</f>
        <v>6</v>
      </c>
    </row>
    <row r="10" ht="18.75" customHeight="1">
      <c r="B10" s="36"/>
      <c r="C10" s="20"/>
      <c r="D10" s="21">
        <v>995.91</v>
      </c>
      <c r="E10" s="21">
        <v>-467.52</v>
      </c>
      <c r="F10" s="21"/>
      <c r="G10" s="21"/>
      <c r="H10" s="21"/>
      <c r="I10" s="21">
        <v>-688.3099999999999</v>
      </c>
      <c r="J10" s="21">
        <f>D10+E10</f>
        <v>528.39</v>
      </c>
      <c r="K10" s="21">
        <f>AVERAGE(J7:J10)</f>
        <v>489.0975</v>
      </c>
      <c r="L10" s="21"/>
      <c r="M10" s="21">
        <f>-I10+M9</f>
        <v>273.83</v>
      </c>
      <c r="N10" s="21"/>
      <c r="O10" s="21">
        <f>1+O9</f>
        <v>7</v>
      </c>
    </row>
    <row r="11" ht="18.75" customHeight="1">
      <c r="B11" s="36"/>
      <c r="C11" s="20"/>
      <c r="D11" s="21">
        <v>1809.63</v>
      </c>
      <c r="E11" s="21">
        <v>-322.93</v>
      </c>
      <c r="F11" s="21"/>
      <c r="G11" s="21"/>
      <c r="H11" s="21"/>
      <c r="I11" s="21">
        <v>-762.6799999999999</v>
      </c>
      <c r="J11" s="21">
        <f>D11+E11</f>
        <v>1486.7</v>
      </c>
      <c r="K11" s="21">
        <f>AVERAGE(J8:J11)</f>
        <v>745.1</v>
      </c>
      <c r="L11" s="21"/>
      <c r="M11" s="21">
        <f>-I11+M10</f>
        <v>1036.51</v>
      </c>
      <c r="N11" s="21"/>
      <c r="O11" s="21">
        <f>1+O10</f>
        <v>8</v>
      </c>
    </row>
    <row r="12" ht="18.75" customHeight="1">
      <c r="B12" s="39">
        <v>2017</v>
      </c>
      <c r="C12" s="20">
        <v>11671</v>
      </c>
      <c r="D12" s="21">
        <v>230.9</v>
      </c>
      <c r="E12" s="21">
        <v>-125.25</v>
      </c>
      <c r="F12" s="21"/>
      <c r="G12" s="21"/>
      <c r="H12" s="21"/>
      <c r="I12" s="21">
        <v>-697.75</v>
      </c>
      <c r="J12" s="21">
        <f>D12+E12</f>
        <v>105.65</v>
      </c>
      <c r="K12" s="21">
        <f>AVERAGE(J9:J12)</f>
        <v>706.54</v>
      </c>
      <c r="L12" s="21"/>
      <c r="M12" s="21">
        <f>-I12+M11</f>
        <v>1734.26</v>
      </c>
      <c r="N12" s="21"/>
      <c r="O12" s="21">
        <f>1+O11</f>
        <v>9</v>
      </c>
    </row>
    <row r="13" ht="18.75" customHeight="1">
      <c r="B13" s="36"/>
      <c r="C13" s="20">
        <v>6165</v>
      </c>
      <c r="D13" s="21">
        <v>899.1</v>
      </c>
      <c r="E13" s="21">
        <v>-212.45</v>
      </c>
      <c r="F13" s="21"/>
      <c r="G13" s="21"/>
      <c r="H13" s="21"/>
      <c r="I13" s="21">
        <v>-555.65</v>
      </c>
      <c r="J13" s="21">
        <f>D13+E13</f>
        <v>686.65</v>
      </c>
      <c r="K13" s="21">
        <f>AVERAGE(J10:J13)</f>
        <v>701.8475</v>
      </c>
      <c r="L13" s="21"/>
      <c r="M13" s="21">
        <f>-I13+M12</f>
        <v>2289.91</v>
      </c>
      <c r="N13" s="21"/>
      <c r="O13" s="21">
        <f>1+O12</f>
        <v>10</v>
      </c>
    </row>
    <row r="14" ht="18.75" customHeight="1">
      <c r="B14" s="36"/>
      <c r="C14" s="20">
        <v>9655</v>
      </c>
      <c r="D14" s="21">
        <v>331.98</v>
      </c>
      <c r="E14" s="21">
        <v>-181.3</v>
      </c>
      <c r="F14" s="21"/>
      <c r="G14" s="21"/>
      <c r="H14" s="21"/>
      <c r="I14" s="21">
        <v>-337.6</v>
      </c>
      <c r="J14" s="21">
        <f>D14+E14</f>
        <v>150.68</v>
      </c>
      <c r="K14" s="21">
        <f>AVERAGE(J11:J14)</f>
        <v>607.42</v>
      </c>
      <c r="L14" s="21"/>
      <c r="M14" s="21">
        <f>-I14+M13</f>
        <v>2627.51</v>
      </c>
      <c r="N14" s="21"/>
      <c r="O14" s="21">
        <f>1+O13</f>
        <v>11</v>
      </c>
    </row>
    <row r="15" ht="18.75" customHeight="1">
      <c r="B15" s="36"/>
      <c r="C15" s="20">
        <v>8892</v>
      </c>
      <c r="D15" s="21">
        <v>305.61</v>
      </c>
      <c r="E15" s="21">
        <v>-282</v>
      </c>
      <c r="F15" s="21"/>
      <c r="G15" s="21"/>
      <c r="H15" s="21"/>
      <c r="I15" s="21">
        <v>-138.85</v>
      </c>
      <c r="J15" s="21">
        <f>D15+E15</f>
        <v>23.61</v>
      </c>
      <c r="K15" s="21">
        <f>AVERAGE(J12:J15)</f>
        <v>241.6475</v>
      </c>
      <c r="L15" s="21"/>
      <c r="M15" s="21">
        <f>-I15+M14</f>
        <v>2766.36</v>
      </c>
      <c r="N15" s="21"/>
      <c r="O15" s="21">
        <f>1+O14</f>
        <v>12</v>
      </c>
    </row>
    <row r="16" ht="18.75" customHeight="1">
      <c r="B16" s="39">
        <v>2018</v>
      </c>
      <c r="C16" s="20">
        <v>8797</v>
      </c>
      <c r="D16" s="21">
        <v>1471.47</v>
      </c>
      <c r="E16" s="21">
        <v>-142.36</v>
      </c>
      <c r="F16" s="21"/>
      <c r="G16" s="21"/>
      <c r="H16" s="21"/>
      <c r="I16" s="21">
        <v>-150</v>
      </c>
      <c r="J16" s="21">
        <f>D16+E16</f>
        <v>1329.11</v>
      </c>
      <c r="K16" s="21">
        <f>AVERAGE(J13:J16)</f>
        <v>547.5125</v>
      </c>
      <c r="L16" s="21"/>
      <c r="M16" s="21">
        <f>-I16+M15</f>
        <v>2916.36</v>
      </c>
      <c r="N16" s="21"/>
      <c r="O16" s="21">
        <f>1+O15</f>
        <v>13</v>
      </c>
    </row>
    <row r="17" ht="18.75" customHeight="1">
      <c r="B17" s="36"/>
      <c r="C17" s="20">
        <v>10722</v>
      </c>
      <c r="D17" s="21">
        <v>1826.06</v>
      </c>
      <c r="E17" s="21">
        <v>-391.38</v>
      </c>
      <c r="F17" s="21"/>
      <c r="G17" s="21"/>
      <c r="H17" s="21"/>
      <c r="I17" s="21">
        <v>-1333.3</v>
      </c>
      <c r="J17" s="21">
        <f>D17+E17</f>
        <v>1434.68</v>
      </c>
      <c r="K17" s="21">
        <f>AVERAGE(J14:J17)</f>
        <v>734.52</v>
      </c>
      <c r="L17" s="21"/>
      <c r="M17" s="21">
        <f>-I17+M16</f>
        <v>4249.66</v>
      </c>
      <c r="N17" s="21"/>
      <c r="O17" s="21">
        <f>1+O16</f>
        <v>14</v>
      </c>
    </row>
    <row r="18" ht="18.75" customHeight="1">
      <c r="B18" s="36"/>
      <c r="C18" s="20">
        <v>10530</v>
      </c>
      <c r="D18" s="21">
        <v>958.27</v>
      </c>
      <c r="E18" s="21">
        <v>-419.06</v>
      </c>
      <c r="F18" s="21"/>
      <c r="G18" s="21"/>
      <c r="H18" s="21"/>
      <c r="I18" s="21">
        <v>-905.5</v>
      </c>
      <c r="J18" s="21">
        <f>D18+E18</f>
        <v>539.21</v>
      </c>
      <c r="K18" s="21">
        <f>AVERAGE(J15:J18)</f>
        <v>831.6525</v>
      </c>
      <c r="L18" s="21"/>
      <c r="M18" s="21">
        <f>-I18+M17</f>
        <v>5155.16</v>
      </c>
      <c r="N18" s="21"/>
      <c r="O18" s="21">
        <f>1+O17</f>
        <v>15</v>
      </c>
    </row>
    <row r="19" ht="18.75" customHeight="1">
      <c r="B19" s="36"/>
      <c r="C19" s="20">
        <v>10518</v>
      </c>
      <c r="D19" s="21">
        <v>780.1</v>
      </c>
      <c r="E19" s="21">
        <v>-654.6</v>
      </c>
      <c r="F19" s="21"/>
      <c r="G19" s="21"/>
      <c r="H19" s="21"/>
      <c r="I19" s="21">
        <v>-49.75</v>
      </c>
      <c r="J19" s="21">
        <f>D19+E19</f>
        <v>125.5</v>
      </c>
      <c r="K19" s="21">
        <f>AVERAGE(J16:J19)</f>
        <v>857.125</v>
      </c>
      <c r="L19" s="21"/>
      <c r="M19" s="21">
        <f>-I19+M18</f>
        <v>5204.91</v>
      </c>
      <c r="N19" s="21"/>
      <c r="O19" s="21">
        <f>1+O18</f>
        <v>16</v>
      </c>
    </row>
    <row r="20" ht="18.75" customHeight="1">
      <c r="B20" s="39">
        <v>2019</v>
      </c>
      <c r="C20" s="20">
        <v>15028.9</v>
      </c>
      <c r="D20" s="21">
        <v>187.38</v>
      </c>
      <c r="E20" s="21">
        <v>-629.95</v>
      </c>
      <c r="F20" s="21"/>
      <c r="G20" s="21"/>
      <c r="H20" s="21"/>
      <c r="I20" s="21">
        <v>-150</v>
      </c>
      <c r="J20" s="21">
        <f>D20+E20</f>
        <v>-442.57</v>
      </c>
      <c r="K20" s="21">
        <f>AVERAGE(J17:J20)</f>
        <v>414.205</v>
      </c>
      <c r="L20" s="21"/>
      <c r="M20" s="21">
        <f>-I20+M19</f>
        <v>5354.91</v>
      </c>
      <c r="N20" s="21"/>
      <c r="O20" s="21">
        <f>1+O19</f>
        <v>17</v>
      </c>
    </row>
    <row r="21" ht="18.75" customHeight="1">
      <c r="B21" s="36"/>
      <c r="C21" s="20">
        <f>24142.1-C20</f>
        <v>9113.200000000001</v>
      </c>
      <c r="D21" s="21">
        <v>1107.1</v>
      </c>
      <c r="E21" s="21">
        <v>-818.5599999999999</v>
      </c>
      <c r="F21" s="21"/>
      <c r="G21" s="21"/>
      <c r="H21" s="21"/>
      <c r="I21" s="21">
        <v>-1214.96</v>
      </c>
      <c r="J21" s="21">
        <f>D21+E21</f>
        <v>288.54</v>
      </c>
      <c r="K21" s="21">
        <f>AVERAGE(J18:J21)</f>
        <v>127.67</v>
      </c>
      <c r="L21" s="21"/>
      <c r="M21" s="21">
        <f>-I21+M20</f>
        <v>6569.87</v>
      </c>
      <c r="N21" s="21"/>
      <c r="O21" s="21">
        <f>1+O20</f>
        <v>18</v>
      </c>
    </row>
    <row r="22" ht="18.75" customHeight="1">
      <c r="B22" s="36"/>
      <c r="C22" s="20">
        <f>37642.8-SUM(C20:C21)</f>
        <v>13500.7</v>
      </c>
      <c r="D22" s="21">
        <v>900.52</v>
      </c>
      <c r="E22" s="21">
        <v>-673.99</v>
      </c>
      <c r="F22" s="21"/>
      <c r="G22" s="21"/>
      <c r="H22" s="21"/>
      <c r="I22" s="21">
        <v>138.66</v>
      </c>
      <c r="J22" s="21">
        <f>D22+E22</f>
        <v>226.53</v>
      </c>
      <c r="K22" s="21">
        <f>AVERAGE(J19:J22)</f>
        <v>49.5</v>
      </c>
      <c r="L22" s="21"/>
      <c r="M22" s="21">
        <f>-I22+M21</f>
        <v>6431.21</v>
      </c>
      <c r="N22" s="21"/>
      <c r="O22" s="21">
        <f>1+O21</f>
        <v>19</v>
      </c>
    </row>
    <row r="23" ht="18.75" customHeight="1">
      <c r="B23" s="36"/>
      <c r="C23" s="20">
        <f>42787-SUM(C20:C22)</f>
        <v>5144.2</v>
      </c>
      <c r="D23" s="21">
        <v>1205</v>
      </c>
      <c r="E23" s="21">
        <v>-732.1</v>
      </c>
      <c r="F23" s="21"/>
      <c r="G23" s="21"/>
      <c r="H23" s="21"/>
      <c r="I23" s="21">
        <v>-147.7</v>
      </c>
      <c r="J23" s="21">
        <f>D23+E23</f>
        <v>472.9</v>
      </c>
      <c r="K23" s="21">
        <f>AVERAGE(J20:J23)</f>
        <v>136.35</v>
      </c>
      <c r="L23" s="21"/>
      <c r="M23" s="21">
        <f>-I23+M22</f>
        <v>6578.91</v>
      </c>
      <c r="N23" s="21"/>
      <c r="O23" s="21">
        <f>1+O22</f>
        <v>20</v>
      </c>
    </row>
    <row r="24" ht="18.75" customHeight="1">
      <c r="B24" s="39">
        <v>2020</v>
      </c>
      <c r="C24" s="20">
        <v>12125</v>
      </c>
      <c r="D24" s="21">
        <v>1352.5</v>
      </c>
      <c r="E24" s="21">
        <v>-529.6</v>
      </c>
      <c r="F24" s="21"/>
      <c r="G24" s="21"/>
      <c r="H24" s="21"/>
      <c r="I24" s="21">
        <v>415.2</v>
      </c>
      <c r="J24" s="21">
        <f>D24+E24</f>
        <v>822.9</v>
      </c>
      <c r="K24" s="21">
        <f>AVERAGE(J21:J24)</f>
        <v>452.7175</v>
      </c>
      <c r="L24" s="21"/>
      <c r="M24" s="21">
        <f>-I24+M23</f>
        <v>6163.71</v>
      </c>
      <c r="N24" s="21"/>
      <c r="O24" s="21">
        <f>1+O23</f>
        <v>21</v>
      </c>
    </row>
    <row r="25" ht="18.75" customHeight="1">
      <c r="B25" s="36"/>
      <c r="C25" s="20">
        <f>24567.1-C24</f>
        <v>12442.1</v>
      </c>
      <c r="D25" s="21">
        <v>955.0700000000001</v>
      </c>
      <c r="E25" s="21">
        <v>-394.76</v>
      </c>
      <c r="F25" s="21"/>
      <c r="G25" s="21"/>
      <c r="H25" s="21"/>
      <c r="I25" s="21">
        <v>430.3</v>
      </c>
      <c r="J25" s="21">
        <f>D25+E25</f>
        <v>560.3099999999999</v>
      </c>
      <c r="K25" s="21">
        <f>AVERAGE(J22:J25)</f>
        <v>520.66</v>
      </c>
      <c r="L25" s="21"/>
      <c r="M25" s="21">
        <f>-I25+M24</f>
        <v>5733.41</v>
      </c>
      <c r="N25" s="21"/>
      <c r="O25" s="21">
        <f>1+O24</f>
        <v>22</v>
      </c>
    </row>
    <row r="26" ht="18.75" customHeight="1">
      <c r="B26" s="36"/>
      <c r="C26" s="20">
        <f>37808-SUM(C24:C25)</f>
        <v>13240.9</v>
      </c>
      <c r="D26" s="21">
        <f>2809.4-SUM(D24:D25)</f>
        <v>501.83</v>
      </c>
      <c r="E26" s="21">
        <f>-1338.5-SUM(E24:E25)</f>
        <v>-414.14</v>
      </c>
      <c r="F26" s="21"/>
      <c r="G26" s="21"/>
      <c r="H26" s="21"/>
      <c r="I26" s="21">
        <f>SUM('Model'!C12:F12)</f>
        <v>-2389.61867665</v>
      </c>
      <c r="J26" s="21">
        <f>D26+E26</f>
        <v>87.69</v>
      </c>
      <c r="K26" s="21">
        <f>AVERAGE(J23:J26)</f>
        <v>485.95</v>
      </c>
      <c r="L26" s="21"/>
      <c r="M26" s="21">
        <f>-I26+M25</f>
        <v>8123.02867665</v>
      </c>
      <c r="N26" s="21"/>
      <c r="O26" s="21">
        <f>1+O25</f>
        <v>23</v>
      </c>
    </row>
    <row r="27" ht="18.75" customHeight="1">
      <c r="B27" s="36"/>
      <c r="C27" s="20">
        <f>42539.6-SUM(C24:C26)</f>
        <v>4731.6</v>
      </c>
      <c r="D27" s="21">
        <f>4845.6-SUM(D24:D26)</f>
        <v>2036.2</v>
      </c>
      <c r="E27" s="21">
        <f>-1805.7-SUM(E24:E26)</f>
        <v>-467.2</v>
      </c>
      <c r="F27" s="21"/>
      <c r="G27" s="21"/>
      <c r="H27" s="21"/>
      <c r="I27" s="21">
        <f>-2330-SUM(I24:I26)</f>
        <v>-785.88132335</v>
      </c>
      <c r="J27" s="21">
        <f>D27+E27</f>
        <v>1569</v>
      </c>
      <c r="K27" s="21">
        <f>AVERAGE(J24:J27)</f>
        <v>759.975</v>
      </c>
      <c r="L27" s="21"/>
      <c r="M27" s="21">
        <f>-I27+M26</f>
        <v>8908.91</v>
      </c>
      <c r="N27" s="21"/>
      <c r="O27" s="21">
        <f>1+O26</f>
        <v>24</v>
      </c>
    </row>
    <row r="28" ht="18.75" customHeight="1">
      <c r="B28" s="39">
        <v>2021</v>
      </c>
      <c r="C28" s="20">
        <v>15393.1</v>
      </c>
      <c r="D28" s="21">
        <v>917.9</v>
      </c>
      <c r="E28" s="21">
        <v>-637.8</v>
      </c>
      <c r="F28" s="21">
        <v>-16.553</v>
      </c>
      <c r="G28" s="21">
        <f>-116.553-F28</f>
        <v>-100</v>
      </c>
      <c r="H28" s="21"/>
      <c r="I28" s="21">
        <v>-116.6</v>
      </c>
      <c r="J28" s="21">
        <f>D28+E28</f>
        <v>280.1</v>
      </c>
      <c r="K28" s="21">
        <f>AVERAGE(J25:J28)</f>
        <v>624.275</v>
      </c>
      <c r="L28" s="21"/>
      <c r="M28" s="21">
        <f>-(G28+H28)+M27</f>
        <v>9008.91</v>
      </c>
      <c r="N28" s="21"/>
      <c r="O28" s="21">
        <f>1+O27</f>
        <v>25</v>
      </c>
    </row>
    <row r="29" ht="18.75" customHeight="1">
      <c r="B29" s="36"/>
      <c r="C29" s="20">
        <f>31316-C28</f>
        <v>15922.9</v>
      </c>
      <c r="D29" s="21">
        <f>2080.8-D28</f>
        <v>1162.9</v>
      </c>
      <c r="E29" s="21">
        <f>-1156.2-E28</f>
        <v>-518.4</v>
      </c>
      <c r="F29" s="21">
        <f>-25.223-F28</f>
        <v>-8.67</v>
      </c>
      <c r="G29" s="21">
        <f>-125.223-F29-F28-G28</f>
        <v>0</v>
      </c>
      <c r="H29" s="21"/>
      <c r="I29" s="21">
        <f>-125.2-I28</f>
        <v>-8.6</v>
      </c>
      <c r="J29" s="21">
        <f>D29+E29</f>
        <v>644.5</v>
      </c>
      <c r="K29" s="21">
        <f>AVERAGE(J26:J29)</f>
        <v>645.3225</v>
      </c>
      <c r="L29" s="21"/>
      <c r="M29" s="21">
        <f>-(G29+H29)+M28</f>
        <v>9008.91</v>
      </c>
      <c r="N29" s="21"/>
      <c r="O29" s="21">
        <f>1+O28</f>
        <v>26</v>
      </c>
    </row>
    <row r="30" ht="18.75" customHeight="1">
      <c r="B30" s="36"/>
      <c r="C30" s="20">
        <f>47037.3-SUM(C28:C29)</f>
        <v>15721.3</v>
      </c>
      <c r="D30" s="21">
        <f>1695.3-SUM(D28:D29)</f>
        <v>-385.5</v>
      </c>
      <c r="E30" s="21">
        <f>-2063.5-SUM(E28:E29)</f>
        <v>-907.3</v>
      </c>
      <c r="F30" s="21">
        <f>-42.693-F29-F28</f>
        <v>-17.47</v>
      </c>
      <c r="G30" s="21">
        <f>-579.269-H30-H29-H28-G29-G28-F30-F29-F28</f>
        <v>1400.024</v>
      </c>
      <c r="H30" s="21">
        <f>-1836.6</f>
        <v>-1836.6</v>
      </c>
      <c r="I30" s="21">
        <f>-579.3-SUM(I28:I29)</f>
        <v>-454.1</v>
      </c>
      <c r="J30" s="21">
        <f>D30+E30</f>
        <v>-1292.8</v>
      </c>
      <c r="K30" s="21">
        <f>AVERAGE(J27:J30)</f>
        <v>300.2</v>
      </c>
      <c r="L30" s="21"/>
      <c r="M30" s="21">
        <f>-(G30+H30)+M29</f>
        <v>9445.486000000001</v>
      </c>
      <c r="N30" s="21"/>
      <c r="O30" s="21">
        <f>1+O29</f>
        <v>27</v>
      </c>
    </row>
    <row r="31" ht="18.75" customHeight="1">
      <c r="B31" s="36"/>
      <c r="C31" s="20">
        <f>51871-SUM(C28:C30)</f>
        <v>4833.7</v>
      </c>
      <c r="D31" s="21">
        <f>2121.9-SUM(D28:D30)</f>
        <v>426.6</v>
      </c>
      <c r="E31" s="21">
        <f>-2819.1-SUM(E28:E30)</f>
        <v>-755.6</v>
      </c>
      <c r="F31" s="21">
        <f>-159.5-SUM(F28:F30)</f>
        <v>-116.807</v>
      </c>
      <c r="G31" s="21">
        <f>I31-H31-F31</f>
        <v>380.107</v>
      </c>
      <c r="H31" s="21">
        <f>-1836.6-SUM(H28:H30)</f>
        <v>0</v>
      </c>
      <c r="I31" s="21">
        <f>-316-SUM(I28:I30)</f>
        <v>263.3</v>
      </c>
      <c r="J31" s="21">
        <f>D31+E31</f>
        <v>-329</v>
      </c>
      <c r="K31" s="21">
        <f>AVERAGE(J28:J31)</f>
        <v>-174.3</v>
      </c>
      <c r="L31" s="21"/>
      <c r="M31" s="21">
        <f>-(G31+H31)+M30</f>
        <v>9065.379000000001</v>
      </c>
      <c r="N31" s="21"/>
      <c r="O31" s="21">
        <f>1+O30</f>
        <v>28</v>
      </c>
    </row>
    <row r="32" ht="18.75" customHeight="1">
      <c r="B32" s="39">
        <v>2022</v>
      </c>
      <c r="C32" s="20">
        <v>14195.8</v>
      </c>
      <c r="D32" s="21">
        <v>1238.5</v>
      </c>
      <c r="E32" s="21">
        <v>-623.7</v>
      </c>
      <c r="F32" s="21">
        <v>-21.9</v>
      </c>
      <c r="G32" s="21">
        <f>I32-H32-F32</f>
        <v>-200</v>
      </c>
      <c r="H32" s="21">
        <v>0</v>
      </c>
      <c r="I32" s="21">
        <v>-221.9</v>
      </c>
      <c r="J32" s="21">
        <f>D32+E32</f>
        <v>614.8</v>
      </c>
      <c r="K32" s="21">
        <f>AVERAGE(J29:J32)</f>
        <v>-90.625</v>
      </c>
      <c r="L32" s="21">
        <v>1154.5661063477</v>
      </c>
      <c r="M32" s="21">
        <f>-(G32+H32)+M31</f>
        <v>9265.379000000001</v>
      </c>
      <c r="N32" s="21">
        <v>11530.9829004575</v>
      </c>
      <c r="O32" s="21">
        <f>1+O31</f>
        <v>29</v>
      </c>
    </row>
    <row r="33" ht="18.75" customHeight="1">
      <c r="B33" s="36"/>
      <c r="C33" s="20"/>
      <c r="D33" s="21"/>
      <c r="E33" s="21"/>
      <c r="F33" s="21"/>
      <c r="G33" s="21"/>
      <c r="H33" s="21"/>
      <c r="I33" s="21"/>
      <c r="J33" s="21"/>
      <c r="K33" s="25"/>
      <c r="L33" s="21">
        <f>SUM('Model'!F9:F11)</f>
        <v>1013.965604</v>
      </c>
      <c r="M33" s="25"/>
      <c r="N33" s="21">
        <f>'Model'!F34</f>
        <v>11654.99767665</v>
      </c>
      <c r="O33" s="21"/>
    </row>
  </sheetData>
  <mergeCells count="1">
    <mergeCell ref="B2:O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9375" style="45" customWidth="1"/>
    <col min="2" max="2" width="9.08594" style="45" customWidth="1"/>
    <col min="3" max="11" width="10.6172" style="45" customWidth="1"/>
    <col min="12" max="16384" width="16.3516" style="45" customWidth="1"/>
  </cols>
  <sheetData>
    <row r="1" ht="35.6" customHeight="1"/>
    <row r="2" ht="29.2" customHeight="1">
      <c r="B2" t="s" s="2">
        <v>51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30">
        <v>1</v>
      </c>
      <c r="C3" t="s" s="30">
        <v>52</v>
      </c>
      <c r="D3" t="s" s="30">
        <v>53</v>
      </c>
      <c r="E3" t="s" s="30">
        <v>54</v>
      </c>
      <c r="F3" t="s" s="30">
        <v>25</v>
      </c>
      <c r="G3" t="s" s="30">
        <v>12</v>
      </c>
      <c r="H3" t="s" s="30">
        <v>15</v>
      </c>
      <c r="I3" t="s" s="30">
        <v>27</v>
      </c>
      <c r="J3" t="s" s="30">
        <v>28</v>
      </c>
      <c r="K3" t="s" s="30">
        <v>36</v>
      </c>
    </row>
    <row r="4" ht="21.1" customHeight="1">
      <c r="B4" s="32">
        <v>2015</v>
      </c>
      <c r="C4" s="43">
        <v>753</v>
      </c>
      <c r="D4" s="34">
        <v>22547</v>
      </c>
      <c r="E4" s="34">
        <f>D4-C4</f>
        <v>21794</v>
      </c>
      <c r="F4" s="34">
        <v>2470</v>
      </c>
      <c r="G4" s="34">
        <v>11111</v>
      </c>
      <c r="H4" s="34">
        <v>11436</v>
      </c>
      <c r="I4" s="34">
        <f>G4+H4-C4-E4</f>
        <v>0</v>
      </c>
      <c r="J4" s="34">
        <f>C4-G4</f>
        <v>-10358</v>
      </c>
      <c r="K4" s="44"/>
    </row>
    <row r="5" ht="21.1" customHeight="1">
      <c r="B5" s="36"/>
      <c r="C5" s="20">
        <v>1244</v>
      </c>
      <c r="D5" s="21">
        <v>23760</v>
      </c>
      <c r="E5" s="21">
        <f>D5-C5</f>
        <v>22516</v>
      </c>
      <c r="F5" s="21">
        <v>2628</v>
      </c>
      <c r="G5" s="21">
        <v>12091</v>
      </c>
      <c r="H5" s="21">
        <v>11669</v>
      </c>
      <c r="I5" s="21">
        <f>G5+H5-C5-E5</f>
        <v>0</v>
      </c>
      <c r="J5" s="21">
        <f>C5-G5</f>
        <v>-10847</v>
      </c>
      <c r="K5" s="26"/>
    </row>
    <row r="6" ht="21.1" customHeight="1">
      <c r="B6" s="36"/>
      <c r="C6" s="20">
        <v>1443</v>
      </c>
      <c r="D6" s="21">
        <v>23146</v>
      </c>
      <c r="E6" s="21">
        <f>D6-C6</f>
        <v>21703</v>
      </c>
      <c r="F6" s="21">
        <v>2804</v>
      </c>
      <c r="G6" s="21">
        <v>11187</v>
      </c>
      <c r="H6" s="21">
        <v>11959</v>
      </c>
      <c r="I6" s="21">
        <f>G6+H6-C6-E6</f>
        <v>0</v>
      </c>
      <c r="J6" s="21">
        <f>C6-G6</f>
        <v>-9744</v>
      </c>
      <c r="K6" s="26"/>
    </row>
    <row r="7" ht="21.1" customHeight="1">
      <c r="B7" s="36"/>
      <c r="C7" s="20">
        <v>1679</v>
      </c>
      <c r="D7" s="21">
        <v>24685</v>
      </c>
      <c r="E7" s="21">
        <f>D7-C7</f>
        <v>23006</v>
      </c>
      <c r="F7" s="21">
        <f>3070</f>
        <v>3070</v>
      </c>
      <c r="G7" s="21">
        <v>12124</v>
      </c>
      <c r="H7" s="21">
        <v>12561</v>
      </c>
      <c r="I7" s="21">
        <f>G7+H7-C7-E7</f>
        <v>0</v>
      </c>
      <c r="J7" s="21">
        <f>C7-G7</f>
        <v>-10445</v>
      </c>
      <c r="K7" s="26"/>
    </row>
    <row r="8" ht="21.1" customHeight="1">
      <c r="B8" s="39">
        <v>2016</v>
      </c>
      <c r="C8" s="20">
        <v>1279</v>
      </c>
      <c r="D8" s="21">
        <v>24214</v>
      </c>
      <c r="E8" s="21">
        <f>D8-C8</f>
        <v>22935</v>
      </c>
      <c r="F8" s="21">
        <v>3178</v>
      </c>
      <c r="G8" s="21">
        <v>10888</v>
      </c>
      <c r="H8" s="21">
        <v>13326</v>
      </c>
      <c r="I8" s="21">
        <f>G8+H8-C8-E8</f>
        <v>0</v>
      </c>
      <c r="J8" s="21">
        <f>C8-G8</f>
        <v>-9609</v>
      </c>
      <c r="K8" s="26"/>
    </row>
    <row r="9" ht="20.9" customHeight="1">
      <c r="B9" s="36"/>
      <c r="C9" s="20">
        <v>1945</v>
      </c>
      <c r="D9" s="21">
        <v>25543</v>
      </c>
      <c r="E9" s="21">
        <f>D9-C9</f>
        <v>23598</v>
      </c>
      <c r="F9" s="21">
        <f>3374</f>
        <v>3374</v>
      </c>
      <c r="G9" s="21">
        <v>11712</v>
      </c>
      <c r="H9" s="21">
        <v>13831</v>
      </c>
      <c r="I9" s="21">
        <f>G9+H9-C9-E9</f>
        <v>0</v>
      </c>
      <c r="J9" s="21">
        <f>C9-G9</f>
        <v>-9767</v>
      </c>
      <c r="K9" s="26"/>
    </row>
    <row r="10" ht="20.9" customHeight="1">
      <c r="B10" s="36"/>
      <c r="C10" s="20">
        <v>1756</v>
      </c>
      <c r="D10" s="21">
        <v>25224</v>
      </c>
      <c r="E10" s="21">
        <f>D10-C10</f>
        <v>23468</v>
      </c>
      <c r="F10" s="21">
        <v>3572</v>
      </c>
      <c r="G10" s="21">
        <v>10619</v>
      </c>
      <c r="H10" s="21">
        <v>14605</v>
      </c>
      <c r="I10" s="21">
        <f>G10+H10-C10-E10</f>
        <v>0</v>
      </c>
      <c r="J10" s="21">
        <f>C10-G10</f>
        <v>-8863</v>
      </c>
      <c r="K10" s="26"/>
    </row>
    <row r="11" ht="20.9" customHeight="1">
      <c r="B11" s="36"/>
      <c r="C11" s="20">
        <v>2504</v>
      </c>
      <c r="D11" s="21">
        <v>24211</v>
      </c>
      <c r="E11" s="21">
        <f>D11-C11</f>
        <v>21707</v>
      </c>
      <c r="F11" s="21">
        <f>3823+19</f>
        <v>3842</v>
      </c>
      <c r="G11" s="21">
        <v>10049</v>
      </c>
      <c r="H11" s="21">
        <v>14162</v>
      </c>
      <c r="I11" s="21">
        <f>G11+H11-C11-E11</f>
        <v>0</v>
      </c>
      <c r="J11" s="21">
        <f>C11-G11</f>
        <v>-7545</v>
      </c>
      <c r="K11" s="26"/>
    </row>
    <row r="12" ht="20.9" customHeight="1">
      <c r="B12" s="39">
        <v>2017</v>
      </c>
      <c r="C12" s="20">
        <v>1910</v>
      </c>
      <c r="D12" s="21">
        <v>24702</v>
      </c>
      <c r="E12" s="21">
        <f>D12-C12</f>
        <v>22792</v>
      </c>
      <c r="F12" s="21">
        <v>4026</v>
      </c>
      <c r="G12" s="21">
        <v>9919</v>
      </c>
      <c r="H12" s="21">
        <v>14783</v>
      </c>
      <c r="I12" s="21">
        <f>G12+H12-C12-E12</f>
        <v>0</v>
      </c>
      <c r="J12" s="21">
        <f>C12-G12</f>
        <v>-8009</v>
      </c>
      <c r="K12" s="26"/>
    </row>
    <row r="13" ht="20.9" customHeight="1">
      <c r="B13" s="36"/>
      <c r="C13" s="20">
        <v>2040</v>
      </c>
      <c r="D13" s="21">
        <v>25663</v>
      </c>
      <c r="E13" s="21">
        <f>D13-C13</f>
        <v>23623</v>
      </c>
      <c r="F13" s="21">
        <f>4233</f>
        <v>4233</v>
      </c>
      <c r="G13" s="21">
        <v>10898</v>
      </c>
      <c r="H13" s="21">
        <v>14765</v>
      </c>
      <c r="I13" s="21">
        <f>G13+H13-C13-E13</f>
        <v>0</v>
      </c>
      <c r="J13" s="21">
        <f>C13-G13</f>
        <v>-8858</v>
      </c>
      <c r="K13" s="26"/>
    </row>
    <row r="14" ht="20.9" customHeight="1">
      <c r="B14" s="36"/>
      <c r="C14" s="20">
        <v>1857</v>
      </c>
      <c r="D14" s="21">
        <v>24395</v>
      </c>
      <c r="E14" s="21">
        <f>D14-C14</f>
        <v>22538</v>
      </c>
      <c r="F14" s="21">
        <f>4426</f>
        <v>4426</v>
      </c>
      <c r="G14" s="21">
        <v>9218</v>
      </c>
      <c r="H14" s="21">
        <v>15177</v>
      </c>
      <c r="I14" s="21">
        <f>G14+H14-C14-E14</f>
        <v>0</v>
      </c>
      <c r="J14" s="21">
        <f>C14-G14</f>
        <v>-7361</v>
      </c>
      <c r="K14" s="26"/>
    </row>
    <row r="15" ht="20.9" customHeight="1">
      <c r="B15" s="36"/>
      <c r="C15" s="20">
        <v>1793</v>
      </c>
      <c r="D15" s="21">
        <v>24532</v>
      </c>
      <c r="E15" s="21">
        <f>D15-C15</f>
        <v>22739</v>
      </c>
      <c r="F15" s="21">
        <f>4605+81</f>
        <v>4686</v>
      </c>
      <c r="G15" s="21">
        <v>8822</v>
      </c>
      <c r="H15" s="21">
        <v>15710</v>
      </c>
      <c r="I15" s="21">
        <f>G15+H15-C15-E15</f>
        <v>0</v>
      </c>
      <c r="J15" s="21">
        <f>C15-G15</f>
        <v>-7029</v>
      </c>
      <c r="K15" s="26"/>
    </row>
    <row r="16" ht="20.9" customHeight="1">
      <c r="B16" s="39">
        <v>2018</v>
      </c>
      <c r="C16" s="20">
        <v>2800</v>
      </c>
      <c r="D16" s="21">
        <v>25725</v>
      </c>
      <c r="E16" s="21">
        <f>D16-C16</f>
        <v>22925</v>
      </c>
      <c r="F16" s="21">
        <f>4817+85</f>
        <v>4902</v>
      </c>
      <c r="G16" s="21">
        <v>9027</v>
      </c>
      <c r="H16" s="21">
        <v>16698</v>
      </c>
      <c r="I16" s="21">
        <f>G16+H16-C16-E16</f>
        <v>0</v>
      </c>
      <c r="J16" s="21">
        <f>C16-G16</f>
        <v>-6227</v>
      </c>
      <c r="K16" s="26"/>
    </row>
    <row r="17" ht="20.9" customHeight="1">
      <c r="B17" s="36"/>
      <c r="C17" s="20">
        <v>3012</v>
      </c>
      <c r="D17" s="21">
        <v>26465</v>
      </c>
      <c r="E17" s="21">
        <f>D17-C17</f>
        <v>23453</v>
      </c>
      <c r="F17" s="21">
        <f>88+5028</f>
        <v>5116</v>
      </c>
      <c r="G17" s="21">
        <v>9254</v>
      </c>
      <c r="H17" s="21">
        <v>17211</v>
      </c>
      <c r="I17" s="21">
        <f>G17+H17-C17-E17</f>
        <v>0</v>
      </c>
      <c r="J17" s="21">
        <f>C17-G17</f>
        <v>-6242</v>
      </c>
      <c r="K17" s="26"/>
    </row>
    <row r="18" ht="20.9" customHeight="1">
      <c r="B18" s="36"/>
      <c r="C18" s="20">
        <v>2678</v>
      </c>
      <c r="D18" s="21">
        <v>26675</v>
      </c>
      <c r="E18" s="21">
        <f>D18-C18</f>
        <v>23997</v>
      </c>
      <c r="F18" s="21">
        <f>5213+92</f>
        <v>5305</v>
      </c>
      <c r="G18" s="21">
        <v>8436</v>
      </c>
      <c r="H18" s="21">
        <v>18239</v>
      </c>
      <c r="I18" s="21">
        <f>G18+H18-C18-E18</f>
        <v>0</v>
      </c>
      <c r="J18" s="21">
        <f>C18-G18</f>
        <v>-5758</v>
      </c>
      <c r="K18" s="26"/>
    </row>
    <row r="19" ht="20.9" customHeight="1">
      <c r="B19" s="36"/>
      <c r="C19" s="20">
        <v>2803</v>
      </c>
      <c r="D19" s="21">
        <v>27645</v>
      </c>
      <c r="E19" s="21">
        <f>D19-C19</f>
        <v>24842</v>
      </c>
      <c r="F19" s="21">
        <f>5421+95</f>
        <v>5516</v>
      </c>
      <c r="G19" s="21">
        <v>8254</v>
      </c>
      <c r="H19" s="21">
        <v>19391</v>
      </c>
      <c r="I19" s="21">
        <f>G19+H19-C19-E19</f>
        <v>0</v>
      </c>
      <c r="J19" s="21">
        <f>C19-G19</f>
        <v>-5451</v>
      </c>
      <c r="K19" s="26"/>
    </row>
    <row r="20" ht="20.9" customHeight="1">
      <c r="B20" s="39">
        <v>2019</v>
      </c>
      <c r="C20" s="20">
        <v>2208</v>
      </c>
      <c r="D20" s="21">
        <v>28578</v>
      </c>
      <c r="E20" s="21">
        <f>D20-C20</f>
        <v>26370</v>
      </c>
      <c r="F20" s="21">
        <f>5625+98</f>
        <v>5723</v>
      </c>
      <c r="G20" s="21">
        <v>8375</v>
      </c>
      <c r="H20" s="21">
        <v>20203</v>
      </c>
      <c r="I20" s="21">
        <f>G20+H20-C20-E20</f>
        <v>0</v>
      </c>
      <c r="J20" s="21">
        <f>C20-G20</f>
        <v>-6167</v>
      </c>
      <c r="K20" s="26"/>
    </row>
    <row r="21" ht="20.9" customHeight="1">
      <c r="B21" s="36"/>
      <c r="C21" s="20">
        <v>1276</v>
      </c>
      <c r="D21" s="21">
        <v>28631</v>
      </c>
      <c r="E21" s="21">
        <f>D21-C21</f>
        <v>27355</v>
      </c>
      <c r="F21" s="21">
        <f>5832+102</f>
        <v>5934</v>
      </c>
      <c r="G21" s="21">
        <v>9443</v>
      </c>
      <c r="H21" s="21">
        <v>19188</v>
      </c>
      <c r="I21" s="21">
        <f>G21+H21-C21-E21</f>
        <v>0</v>
      </c>
      <c r="J21" s="21">
        <f>C21-G21</f>
        <v>-8167</v>
      </c>
      <c r="K21" s="26"/>
    </row>
    <row r="22" ht="20.9" customHeight="1">
      <c r="B22" s="36"/>
      <c r="C22" s="20">
        <v>1641</v>
      </c>
      <c r="D22" s="21">
        <v>28854</v>
      </c>
      <c r="E22" s="21">
        <f>D22-C22</f>
        <v>27213</v>
      </c>
      <c r="F22" s="21">
        <f>6034+105</f>
        <v>6139</v>
      </c>
      <c r="G22" s="21">
        <v>8826</v>
      </c>
      <c r="H22" s="21">
        <v>20028</v>
      </c>
      <c r="I22" s="21">
        <f>G22+H22-C22-E22</f>
        <v>0</v>
      </c>
      <c r="J22" s="21">
        <f>C22-G22</f>
        <v>-7185</v>
      </c>
      <c r="K22" s="26"/>
    </row>
    <row r="23" ht="20.9" customHeight="1">
      <c r="B23" s="36"/>
      <c r="C23" s="20">
        <v>1961</v>
      </c>
      <c r="D23" s="21">
        <v>29353</v>
      </c>
      <c r="E23" s="21">
        <f>D23-C23</f>
        <v>27392</v>
      </c>
      <c r="F23" s="21">
        <f>6229+108</f>
        <v>6337</v>
      </c>
      <c r="G23" s="21">
        <v>8281</v>
      </c>
      <c r="H23" s="21">
        <v>21072</v>
      </c>
      <c r="I23" s="21">
        <f>G23+H23-C23-E23</f>
        <v>0</v>
      </c>
      <c r="J23" s="21">
        <f>C23-G23</f>
        <v>-6320</v>
      </c>
      <c r="K23" s="26"/>
    </row>
    <row r="24" ht="20.9" customHeight="1">
      <c r="B24" s="39">
        <v>2020</v>
      </c>
      <c r="C24" s="20">
        <v>3353</v>
      </c>
      <c r="D24" s="21">
        <v>30751</v>
      </c>
      <c r="E24" s="21">
        <f>D24-C24</f>
        <v>27398</v>
      </c>
      <c r="F24" s="21">
        <f>6430+112</f>
        <v>6542</v>
      </c>
      <c r="G24" s="21">
        <v>8759</v>
      </c>
      <c r="H24" s="21">
        <v>21992</v>
      </c>
      <c r="I24" s="21">
        <f>G24+H24-C24-E24</f>
        <v>0</v>
      </c>
      <c r="J24" s="21">
        <f>C24-G24</f>
        <v>-5406</v>
      </c>
      <c r="K24" s="26"/>
    </row>
    <row r="25" ht="20.9" customHeight="1">
      <c r="B25" s="36"/>
      <c r="C25" s="20">
        <v>4222</v>
      </c>
      <c r="D25" s="21">
        <v>32004</v>
      </c>
      <c r="E25" s="21">
        <f>D25-C25</f>
        <v>27782</v>
      </c>
      <c r="F25" s="21">
        <f>115+6635</f>
        <v>6750</v>
      </c>
      <c r="G25" s="21">
        <v>9274</v>
      </c>
      <c r="H25" s="21">
        <v>22730</v>
      </c>
      <c r="I25" s="21">
        <f>G25+H25-C25-E25</f>
        <v>0</v>
      </c>
      <c r="J25" s="21">
        <f>C25-G25</f>
        <v>-5052</v>
      </c>
      <c r="K25" s="26"/>
    </row>
    <row r="26" ht="20.9" customHeight="1">
      <c r="B26" s="36"/>
      <c r="C26" s="20">
        <v>3027</v>
      </c>
      <c r="D26" s="21">
        <v>31240</v>
      </c>
      <c r="E26" s="21">
        <f>D26-C26</f>
        <v>28213</v>
      </c>
      <c r="F26" s="21">
        <f>6851+117</f>
        <v>6968</v>
      </c>
      <c r="G26" s="21">
        <v>9206</v>
      </c>
      <c r="H26" s="21">
        <v>22034</v>
      </c>
      <c r="I26" s="21">
        <f>G26+H26-C26-E26</f>
        <v>0</v>
      </c>
      <c r="J26" s="21">
        <f>C26-G26</f>
        <v>-6179</v>
      </c>
      <c r="K26" s="26"/>
    </row>
    <row r="27" ht="20.9" customHeight="1">
      <c r="B27" s="36"/>
      <c r="C27" s="20">
        <v>2678</v>
      </c>
      <c r="D27" s="21">
        <v>31159</v>
      </c>
      <c r="E27" s="21">
        <f>D27-C27</f>
        <v>28481</v>
      </c>
      <c r="F27" s="21">
        <f>120+153+7035+6</f>
        <v>7314</v>
      </c>
      <c r="G27" s="21">
        <v>7809</v>
      </c>
      <c r="H27" s="21">
        <v>23350</v>
      </c>
      <c r="I27" s="21">
        <f>G27+H27-C27-E27</f>
        <v>0</v>
      </c>
      <c r="J27" s="21">
        <f>C27-G27</f>
        <v>-5131</v>
      </c>
      <c r="K27" s="26"/>
    </row>
    <row r="28" ht="20.9" customHeight="1">
      <c r="B28" s="39">
        <v>2021</v>
      </c>
      <c r="C28" s="20">
        <v>2949</v>
      </c>
      <c r="D28" s="21">
        <v>32839</v>
      </c>
      <c r="E28" s="21">
        <f>D28-C28</f>
        <v>29890</v>
      </c>
      <c r="F28" s="21">
        <f>121+204+7262+6</f>
        <v>7593</v>
      </c>
      <c r="G28" s="21">
        <v>8034</v>
      </c>
      <c r="H28" s="21">
        <v>24805</v>
      </c>
      <c r="I28" s="21">
        <f>G28+H28-C28-E28</f>
        <v>0</v>
      </c>
      <c r="J28" s="21">
        <f>C28-G28</f>
        <v>-5085</v>
      </c>
      <c r="K28" s="26"/>
    </row>
    <row r="29" ht="20.9" customHeight="1">
      <c r="B29" s="36"/>
      <c r="C29" s="20">
        <v>3490</v>
      </c>
      <c r="D29" s="21">
        <v>34675</v>
      </c>
      <c r="E29" s="21">
        <f>D29-C29</f>
        <v>31185</v>
      </c>
      <c r="F29" s="21">
        <f>7492+7+230+122</f>
        <v>7851</v>
      </c>
      <c r="G29" s="21">
        <v>8504</v>
      </c>
      <c r="H29" s="21">
        <v>26171</v>
      </c>
      <c r="I29" s="21">
        <f>G29+H29-C29-E29</f>
        <v>0</v>
      </c>
      <c r="J29" s="21">
        <f>C29-G29</f>
        <v>-5014</v>
      </c>
      <c r="K29" s="21"/>
    </row>
    <row r="30" ht="20.9" customHeight="1">
      <c r="B30" s="36"/>
      <c r="C30" s="20">
        <v>1837</v>
      </c>
      <c r="D30" s="21">
        <v>34729</v>
      </c>
      <c r="E30" s="21">
        <f>D30-C30</f>
        <v>32892</v>
      </c>
      <c r="F30" s="21">
        <f>7721+6+289+123</f>
        <v>8139</v>
      </c>
      <c r="G30" s="21">
        <v>10560</v>
      </c>
      <c r="H30" s="21">
        <v>24169</v>
      </c>
      <c r="I30" s="21">
        <f>G30+H30-C30-E30</f>
        <v>0</v>
      </c>
      <c r="J30" s="21">
        <f>C30-G30</f>
        <v>-8723</v>
      </c>
      <c r="K30" s="21"/>
    </row>
    <row r="31" ht="20.9" customHeight="1">
      <c r="B31" s="36"/>
      <c r="C31" s="20">
        <v>1803</v>
      </c>
      <c r="D31" s="21">
        <v>35446</v>
      </c>
      <c r="E31" s="21">
        <f>D31-C31</f>
        <v>33643</v>
      </c>
      <c r="F31" s="21">
        <f>124+296+7901+6</f>
        <v>8327</v>
      </c>
      <c r="G31" s="21">
        <v>10296</v>
      </c>
      <c r="H31" s="21">
        <v>25150</v>
      </c>
      <c r="I31" s="21">
        <f>G31+H31-C31-E31</f>
        <v>0</v>
      </c>
      <c r="J31" s="21">
        <f>C31-G31</f>
        <v>-8493</v>
      </c>
      <c r="K31" s="21"/>
    </row>
    <row r="32" ht="20.9" customHeight="1">
      <c r="B32" s="39">
        <v>2022</v>
      </c>
      <c r="C32" s="20">
        <v>2111</v>
      </c>
      <c r="D32" s="21">
        <v>36388</v>
      </c>
      <c r="E32" s="21">
        <f>D32-C32</f>
        <v>34277</v>
      </c>
      <c r="F32" s="21">
        <f>8166+6+335+124</f>
        <v>8631</v>
      </c>
      <c r="G32" s="21">
        <v>10047</v>
      </c>
      <c r="H32" s="21">
        <v>26341</v>
      </c>
      <c r="I32" s="21">
        <f>G32+H32-C32-E32</f>
        <v>0</v>
      </c>
      <c r="J32" s="21">
        <f>C32-G32</f>
        <v>-7936</v>
      </c>
      <c r="K32" s="21">
        <v>-4822.157745882770</v>
      </c>
    </row>
    <row r="33" ht="20.9" customHeight="1">
      <c r="B33" s="36"/>
      <c r="C33" s="20"/>
      <c r="D33" s="21"/>
      <c r="E33" s="21"/>
      <c r="F33" s="21"/>
      <c r="G33" s="21"/>
      <c r="H33" s="21"/>
      <c r="I33" s="21"/>
      <c r="J33" s="21"/>
      <c r="K33" s="21">
        <f>'Model'!F32</f>
        <v>-4485.7832664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38"/>
  <sheetViews>
    <sheetView workbookViewId="0" showGridLines="0" defaultGridColor="1"/>
  </sheetViews>
  <sheetFormatPr defaultColWidth="8.33333" defaultRowHeight="19.9" customHeight="1" outlineLevelRow="0" outlineLevelCol="0"/>
  <cols>
    <col min="1" max="1" width="8.00781" style="46" customWidth="1"/>
    <col min="2" max="2" width="9.35156" style="46" customWidth="1"/>
    <col min="3" max="3" width="10.0703" style="46" customWidth="1"/>
    <col min="4" max="4" width="7.65625" style="46" customWidth="1"/>
    <col min="5" max="16384" width="8.35156" style="46" customWidth="1"/>
  </cols>
  <sheetData>
    <row r="1" ht="10.85" customHeight="1"/>
    <row r="2" ht="27.65" customHeight="1">
      <c r="B2" t="s" s="2">
        <v>55</v>
      </c>
      <c r="C2" s="2"/>
      <c r="D2" s="2"/>
    </row>
    <row r="3" ht="20.05" customHeight="1">
      <c r="B3" t="s" s="47">
        <v>56</v>
      </c>
      <c r="C3" t="s" s="48">
        <v>55</v>
      </c>
      <c r="D3" t="s" s="48">
        <v>57</v>
      </c>
    </row>
    <row r="4" ht="20.05" customHeight="1">
      <c r="B4" s="49">
        <v>2014</v>
      </c>
      <c r="C4" s="50">
        <v>3995</v>
      </c>
      <c r="D4" s="51"/>
    </row>
    <row r="5" ht="20.05" customHeight="1">
      <c r="B5" s="52"/>
      <c r="C5" s="50">
        <v>3770</v>
      </c>
      <c r="D5" s="51"/>
    </row>
    <row r="6" ht="20.05" customHeight="1">
      <c r="B6" s="52"/>
      <c r="C6" s="50">
        <v>4240</v>
      </c>
      <c r="D6" s="51"/>
    </row>
    <row r="7" ht="20.05" customHeight="1">
      <c r="B7" s="52"/>
      <c r="C7" s="50">
        <v>3780</v>
      </c>
      <c r="D7" s="51"/>
    </row>
    <row r="8" ht="20.05" customHeight="1">
      <c r="B8" s="49">
        <v>2015</v>
      </c>
      <c r="C8" s="50">
        <v>3545</v>
      </c>
      <c r="D8" s="51"/>
    </row>
    <row r="9" ht="20.05" customHeight="1">
      <c r="B9" s="52"/>
      <c r="C9" s="50">
        <v>2750</v>
      </c>
      <c r="D9" s="51"/>
    </row>
    <row r="10" ht="20.05" customHeight="1">
      <c r="B10" s="52"/>
      <c r="C10" s="50">
        <v>2000</v>
      </c>
      <c r="D10" s="51"/>
    </row>
    <row r="11" ht="20.05" customHeight="1">
      <c r="B11" s="52"/>
      <c r="C11" s="50">
        <v>2600</v>
      </c>
      <c r="D11" s="51"/>
    </row>
    <row r="12" ht="20.05" customHeight="1">
      <c r="B12" s="49">
        <v>2016</v>
      </c>
      <c r="C12" s="50">
        <v>3590</v>
      </c>
      <c r="D12" s="51"/>
    </row>
    <row r="13" ht="20.05" customHeight="1">
      <c r="B13" s="52"/>
      <c r="C13" s="50">
        <v>3750</v>
      </c>
      <c r="D13" s="51"/>
    </row>
    <row r="14" ht="20.05" customHeight="1">
      <c r="B14" s="52"/>
      <c r="C14" s="50">
        <v>3500</v>
      </c>
      <c r="D14" s="51"/>
    </row>
    <row r="15" ht="20.05" customHeight="1">
      <c r="B15" s="52"/>
      <c r="C15" s="50">
        <v>3090</v>
      </c>
      <c r="D15" s="51"/>
    </row>
    <row r="16" ht="20.05" customHeight="1">
      <c r="B16" s="49">
        <v>2017</v>
      </c>
      <c r="C16" s="50">
        <v>3200</v>
      </c>
      <c r="D16" s="51"/>
    </row>
    <row r="17" ht="20.05" customHeight="1">
      <c r="B17" s="52"/>
      <c r="C17" s="50">
        <v>3180</v>
      </c>
      <c r="D17" s="51"/>
    </row>
    <row r="18" ht="20.05" customHeight="1">
      <c r="B18" s="52"/>
      <c r="C18" s="50">
        <v>2740</v>
      </c>
      <c r="D18" s="51"/>
    </row>
    <row r="19" ht="20.05" customHeight="1">
      <c r="B19" s="52"/>
      <c r="C19" s="50">
        <v>3000</v>
      </c>
      <c r="D19" s="51"/>
    </row>
    <row r="20" ht="20.05" customHeight="1">
      <c r="B20" s="49">
        <v>2018</v>
      </c>
      <c r="C20" s="50">
        <v>3450</v>
      </c>
      <c r="D20" s="51"/>
    </row>
    <row r="21" ht="20.05" customHeight="1">
      <c r="B21" s="52"/>
      <c r="C21" s="50">
        <v>3680</v>
      </c>
      <c r="D21" s="51"/>
    </row>
    <row r="22" ht="20.05" customHeight="1">
      <c r="B22" s="52"/>
      <c r="C22" s="50">
        <v>5075</v>
      </c>
      <c r="D22" s="51"/>
    </row>
    <row r="23" ht="20.05" customHeight="1">
      <c r="B23" s="52"/>
      <c r="C23" s="50">
        <v>7225</v>
      </c>
      <c r="D23" s="51"/>
    </row>
    <row r="24" ht="20.05" customHeight="1">
      <c r="B24" s="49">
        <v>2019</v>
      </c>
      <c r="C24" s="50">
        <v>6400</v>
      </c>
      <c r="D24" s="51"/>
    </row>
    <row r="25" ht="20.05" customHeight="1">
      <c r="B25" s="52"/>
      <c r="C25" s="50">
        <v>4730</v>
      </c>
      <c r="D25" s="51"/>
    </row>
    <row r="26" ht="20.05" customHeight="1">
      <c r="B26" s="52"/>
      <c r="C26" s="50">
        <v>5350</v>
      </c>
      <c r="D26" s="51"/>
    </row>
    <row r="27" ht="20.05" customHeight="1">
      <c r="B27" s="52"/>
      <c r="C27" s="50">
        <v>6500</v>
      </c>
      <c r="D27" s="53"/>
    </row>
    <row r="28" ht="20.05" customHeight="1">
      <c r="B28" s="49">
        <v>2020</v>
      </c>
      <c r="C28" s="54">
        <v>4940</v>
      </c>
      <c r="D28" s="55"/>
    </row>
    <row r="29" ht="20.05" customHeight="1">
      <c r="B29" s="52"/>
      <c r="C29" s="56">
        <v>5575</v>
      </c>
      <c r="D29" s="55"/>
    </row>
    <row r="30" ht="20.05" customHeight="1">
      <c r="B30" s="52"/>
      <c r="C30" s="56">
        <v>5675</v>
      </c>
      <c r="D30" s="57"/>
    </row>
    <row r="31" ht="20.05" customHeight="1">
      <c r="B31" s="52"/>
      <c r="C31" s="58">
        <v>6525</v>
      </c>
      <c r="D31" s="50"/>
    </row>
    <row r="32" ht="20.05" customHeight="1">
      <c r="B32" s="49">
        <v>2021</v>
      </c>
      <c r="C32" s="58">
        <v>7000</v>
      </c>
      <c r="D32" s="50"/>
    </row>
    <row r="33" ht="20.05" customHeight="1">
      <c r="B33" s="52"/>
      <c r="C33" s="58">
        <v>6250</v>
      </c>
      <c r="D33" s="50"/>
    </row>
    <row r="34" ht="20.05" customHeight="1">
      <c r="B34" s="52"/>
      <c r="C34" s="56">
        <v>6425</v>
      </c>
      <c r="D34" s="59"/>
    </row>
    <row r="35" ht="20.05" customHeight="1">
      <c r="B35" s="52"/>
      <c r="C35" s="58">
        <v>5950</v>
      </c>
      <c r="D35" s="50">
        <v>7483.724172607440</v>
      </c>
    </row>
    <row r="36" ht="20.05" customHeight="1">
      <c r="B36" s="49">
        <v>2022</v>
      </c>
      <c r="C36" s="56">
        <v>5650</v>
      </c>
      <c r="D36" s="60">
        <v>4039.511274791570</v>
      </c>
    </row>
    <row r="37" ht="20.05" customHeight="1">
      <c r="B37" s="52"/>
      <c r="C37" s="56">
        <v>4880</v>
      </c>
      <c r="D37" s="61">
        <v>6696.656420444420</v>
      </c>
    </row>
    <row r="38" ht="20.05" customHeight="1">
      <c r="B38" s="52"/>
      <c r="C38" s="58"/>
      <c r="D38" s="50">
        <f>'Model'!F45</f>
        <v>6402.710768901880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9.64062" style="62" customWidth="1"/>
    <col min="11" max="16384" width="16.3516" style="62" customWidth="1"/>
  </cols>
  <sheetData>
    <row r="1" ht="27.65" customHeight="1">
      <c r="A1" t="s" s="2">
        <v>30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31">
        <v>1</v>
      </c>
      <c r="B2" t="s" s="30">
        <v>12</v>
      </c>
      <c r="C2" t="s" s="30">
        <v>15</v>
      </c>
      <c r="D2" t="s" s="30">
        <v>58</v>
      </c>
      <c r="E2" t="s" s="30">
        <v>12</v>
      </c>
      <c r="F2" t="s" s="30">
        <v>15</v>
      </c>
      <c r="G2" t="s" s="30">
        <v>58</v>
      </c>
      <c r="H2" s="4"/>
      <c r="I2" s="4"/>
      <c r="J2" s="4"/>
    </row>
    <row r="3" ht="20.25" customHeight="1">
      <c r="A3" s="32">
        <v>2009</v>
      </c>
      <c r="B3" s="43">
        <f>-1711.093+9.335-C3</f>
        <v>-1701.68</v>
      </c>
      <c r="C3" s="34">
        <v>-0.078</v>
      </c>
      <c r="D3" s="34">
        <f>B3+C3</f>
        <v>-1701.758</v>
      </c>
      <c r="E3" s="34">
        <f>B3</f>
        <v>-1701.68</v>
      </c>
      <c r="F3" s="34">
        <f>C3</f>
        <v>-0.078</v>
      </c>
      <c r="G3" s="34">
        <f>D3</f>
        <v>-1701.758</v>
      </c>
      <c r="H3" s="9"/>
      <c r="I3" s="9"/>
      <c r="J3" s="9"/>
    </row>
    <row r="4" ht="20.05" customHeight="1">
      <c r="A4" s="39">
        <f>1+$A3</f>
        <v>2010</v>
      </c>
      <c r="B4" s="20">
        <f>150+45.675-405.32-190</f>
        <v>-399.645</v>
      </c>
      <c r="C4" s="21">
        <f>-41.078-4.647-643.774</f>
        <v>-689.499</v>
      </c>
      <c r="D4" s="21">
        <f>B4+C4</f>
        <v>-1089.144</v>
      </c>
      <c r="E4" s="21">
        <f>B4+E3</f>
        <v>-2101.325</v>
      </c>
      <c r="F4" s="21">
        <f>C4+F3</f>
        <v>-689.577</v>
      </c>
      <c r="G4" s="21">
        <f>D4+G3</f>
        <v>-2790.902</v>
      </c>
      <c r="H4" s="25"/>
      <c r="I4" s="25"/>
      <c r="J4" s="25"/>
    </row>
    <row r="5" ht="20.05" customHeight="1">
      <c r="A5" s="39">
        <f>1+$A4</f>
        <v>2011</v>
      </c>
      <c r="B5" s="20">
        <f>660.818+884.384-542.574-426.49</f>
        <v>576.138</v>
      </c>
      <c r="C5" s="21">
        <f>-652.64-2.423</f>
        <v>-655.063</v>
      </c>
      <c r="D5" s="21">
        <f>B5+C5</f>
        <v>-78.925</v>
      </c>
      <c r="E5" s="21">
        <f>B5+E4</f>
        <v>-1525.187</v>
      </c>
      <c r="F5" s="21">
        <f>C5+F4</f>
        <v>-1344.64</v>
      </c>
      <c r="G5" s="21">
        <f>D5+G4</f>
        <v>-2869.827</v>
      </c>
      <c r="H5" s="25"/>
      <c r="I5" s="25"/>
      <c r="J5" s="25"/>
    </row>
    <row r="6" ht="20.05" customHeight="1">
      <c r="A6" s="39">
        <f>1+$A5</f>
        <v>2012</v>
      </c>
      <c r="B6" s="20">
        <f>318.438+646.8-90.85-37.697</f>
        <v>836.691</v>
      </c>
      <c r="C6" s="21">
        <f>-688.716-5.162</f>
        <v>-693.878</v>
      </c>
      <c r="D6" s="21">
        <f>B6+C6</f>
        <v>142.813</v>
      </c>
      <c r="E6" s="21">
        <f>B6+E5</f>
        <v>-688.496</v>
      </c>
      <c r="F6" s="21">
        <f>C6+F5</f>
        <v>-2038.518</v>
      </c>
      <c r="G6" s="21">
        <f>D6+G5</f>
        <v>-2727.014</v>
      </c>
      <c r="H6" s="25"/>
      <c r="I6" s="25"/>
      <c r="J6" s="25"/>
    </row>
    <row r="7" ht="20.05" customHeight="1">
      <c r="A7" s="39">
        <f>1+$A6</f>
        <v>2013</v>
      </c>
      <c r="B7" s="20">
        <f>220.321+0.018-C7</f>
        <v>974.701</v>
      </c>
      <c r="C7" s="21">
        <f>-754.308-0.054</f>
        <v>-754.362</v>
      </c>
      <c r="D7" s="21">
        <f>B7+C7</f>
        <v>220.339</v>
      </c>
      <c r="E7" s="21">
        <f>B7+E6</f>
        <v>286.205</v>
      </c>
      <c r="F7" s="21">
        <f>C7+F6</f>
        <v>-2792.88</v>
      </c>
      <c r="G7" s="21">
        <f>D7+G6</f>
        <v>-2506.675</v>
      </c>
      <c r="H7" s="25"/>
      <c r="I7" s="25"/>
      <c r="J7" s="25"/>
    </row>
    <row r="8" ht="20.05" customHeight="1">
      <c r="A8" s="39">
        <f>1+$A7</f>
        <v>2014</v>
      </c>
      <c r="B8" s="20">
        <f>2896.039-C8</f>
        <v>3650.4</v>
      </c>
      <c r="C8" s="21">
        <f>-754.308-0.053</f>
        <v>-754.361</v>
      </c>
      <c r="D8" s="21">
        <f>B8+C8</f>
        <v>2896.039</v>
      </c>
      <c r="E8" s="21">
        <f>B8+E7</f>
        <v>3936.605</v>
      </c>
      <c r="F8" s="21">
        <f>C8+F7</f>
        <v>-3547.241</v>
      </c>
      <c r="G8" s="21">
        <f>D8+G7</f>
        <v>389.364</v>
      </c>
      <c r="H8" s="25"/>
      <c r="I8" s="25"/>
      <c r="J8" s="25"/>
    </row>
    <row r="9" ht="20.05" customHeight="1">
      <c r="A9" s="39">
        <f>1+$A8</f>
        <v>2015</v>
      </c>
      <c r="B9" s="20">
        <f>1108.97-C9</f>
        <v>1404.159</v>
      </c>
      <c r="C9" s="21">
        <f>-295.164-0.025</f>
        <v>-295.189</v>
      </c>
      <c r="D9" s="21">
        <f>B9+C9</f>
        <v>1108.97</v>
      </c>
      <c r="E9" s="21">
        <f>B9+E8</f>
        <v>5340.764</v>
      </c>
      <c r="F9" s="21">
        <f>C9+F8</f>
        <v>-3842.43</v>
      </c>
      <c r="G9" s="21">
        <f>D9+G8</f>
        <v>1498.334</v>
      </c>
      <c r="H9" s="25"/>
      <c r="I9" s="25"/>
      <c r="J9" s="25"/>
    </row>
    <row r="10" ht="20.05" customHeight="1">
      <c r="A10" s="39">
        <f>1+$A9</f>
        <v>2016</v>
      </c>
      <c r="B10" s="20">
        <f>-2145.489-C10</f>
        <v>-1669.927</v>
      </c>
      <c r="C10" s="21">
        <f>-475.542-0.02</f>
        <v>-475.562</v>
      </c>
      <c r="D10" s="21">
        <f>B10+C10</f>
        <v>-2145.489</v>
      </c>
      <c r="E10" s="21">
        <f>B10+E9</f>
        <v>3670.837</v>
      </c>
      <c r="F10" s="21">
        <f>C10+F9</f>
        <v>-4317.992</v>
      </c>
      <c r="G10" s="21">
        <f>D10+G9</f>
        <v>-647.155</v>
      </c>
      <c r="H10" s="25"/>
      <c r="I10" s="25"/>
      <c r="J10" s="25"/>
    </row>
    <row r="11" ht="20.05" customHeight="1">
      <c r="A11" s="39">
        <f>1+$A10</f>
        <v>2017</v>
      </c>
      <c r="B11" s="20">
        <f>-1588.728-C11</f>
        <v>-670.4400000000001</v>
      </c>
      <c r="C11" s="21">
        <v>-918.288</v>
      </c>
      <c r="D11" s="21">
        <f>B11+C11</f>
        <v>-1588.728</v>
      </c>
      <c r="E11" s="21">
        <f>B11+E10</f>
        <v>3000.397</v>
      </c>
      <c r="F11" s="21">
        <f>C11+F10</f>
        <v>-5236.28</v>
      </c>
      <c r="G11" s="21">
        <f>D11+G10</f>
        <v>-2235.883</v>
      </c>
      <c r="H11" s="25"/>
      <c r="I11" s="25"/>
      <c r="J11" s="25"/>
    </row>
    <row r="12" ht="20.05" customHeight="1">
      <c r="A12" s="39">
        <f>1+$A11</f>
        <v>2018</v>
      </c>
      <c r="B12" s="20">
        <f>-2438.554-C12</f>
        <v>-1520.266</v>
      </c>
      <c r="C12" s="21">
        <v>-918.288</v>
      </c>
      <c r="D12" s="21">
        <f>B12+C12</f>
        <v>-2438.554</v>
      </c>
      <c r="E12" s="21">
        <f>B12+E11</f>
        <v>1480.131</v>
      </c>
      <c r="F12" s="21">
        <f>C12+F11</f>
        <v>-6154.568</v>
      </c>
      <c r="G12" s="21">
        <f>D12+G11</f>
        <v>-4674.437</v>
      </c>
      <c r="H12" s="25"/>
      <c r="I12" s="25"/>
      <c r="J12" s="25"/>
    </row>
    <row r="13" ht="20.05" customHeight="1">
      <c r="A13" s="39">
        <f>1+$A12</f>
        <v>2019</v>
      </c>
      <c r="B13" s="20">
        <f>-1374.31-C13</f>
        <v>560.654</v>
      </c>
      <c r="C13" s="21">
        <v>-1934.964</v>
      </c>
      <c r="D13" s="21">
        <f>B13+C13</f>
        <v>-1374.31</v>
      </c>
      <c r="E13" s="21">
        <f>B13+E12</f>
        <v>2040.785</v>
      </c>
      <c r="F13" s="21">
        <f>C13+F12</f>
        <v>-8089.532</v>
      </c>
      <c r="G13" s="21">
        <f>D13+G12</f>
        <v>-6048.747</v>
      </c>
      <c r="H13" s="25"/>
      <c r="I13" s="25"/>
      <c r="J13" s="25"/>
    </row>
    <row r="14" ht="20.05" customHeight="1">
      <c r="A14" s="39">
        <f>1+$A13</f>
        <v>2020</v>
      </c>
      <c r="B14" s="20">
        <f>-2329.963+138.9-C14</f>
        <v>-862.825</v>
      </c>
      <c r="C14" s="21">
        <v>-1328.238</v>
      </c>
      <c r="D14" s="21">
        <f>B14+C14</f>
        <v>-2191.063</v>
      </c>
      <c r="E14" s="21">
        <f>B14+E13</f>
        <v>1177.96</v>
      </c>
      <c r="F14" s="21">
        <f>C14+F13</f>
        <v>-9417.77</v>
      </c>
      <c r="G14" s="21">
        <f>D14+G13</f>
        <v>-8239.809999999999</v>
      </c>
      <c r="H14" s="25"/>
      <c r="I14" s="25"/>
      <c r="J14" s="25"/>
    </row>
    <row r="15" ht="20.05" customHeight="1">
      <c r="A15" s="39">
        <f>1+$A14</f>
        <v>2021</v>
      </c>
      <c r="B15" s="20">
        <f>SUM('Cashflow '!G28:G31)</f>
        <v>1680.131</v>
      </c>
      <c r="C15" s="21">
        <f>SUM('Cashflow '!H28:H31)</f>
        <v>-1836.6</v>
      </c>
      <c r="D15" s="21">
        <f>B15+C15</f>
        <v>-156.469</v>
      </c>
      <c r="E15" s="21">
        <f>B15+E14</f>
        <v>2858.091</v>
      </c>
      <c r="F15" s="21">
        <f>C15+F14</f>
        <v>-11254.37</v>
      </c>
      <c r="G15" s="21">
        <f>D15+G14</f>
        <v>-8396.279</v>
      </c>
      <c r="H15" s="21">
        <f>AVERAGE(D3:D15)</f>
        <v>-645.867615384615</v>
      </c>
      <c r="I15" s="21">
        <f>AVERAGE(D11:D15)</f>
        <v>-1549.8248</v>
      </c>
      <c r="J15" s="26">
        <f>SUM('Cashflow '!G29:H32)</f>
        <v>-256.469</v>
      </c>
    </row>
    <row r="16" ht="20.05" customHeight="1">
      <c r="A16" s="39">
        <f>1+$A15</f>
        <v>2022</v>
      </c>
      <c r="B16" s="20">
        <f>'Cashflow '!G32</f>
        <v>-200</v>
      </c>
      <c r="C16" s="21">
        <f>'Cashflow '!H32</f>
        <v>0</v>
      </c>
      <c r="D16" s="21">
        <f>B16+C16</f>
        <v>-200</v>
      </c>
      <c r="E16" s="21">
        <f>B16+E15</f>
        <v>2658.091</v>
      </c>
      <c r="F16" s="21">
        <f>C16+F15</f>
        <v>-11254.37</v>
      </c>
      <c r="G16" s="21">
        <f>D16+G15</f>
        <v>-8596.279</v>
      </c>
      <c r="H16" s="25"/>
      <c r="I16" s="25"/>
      <c r="J16" s="25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