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" sheetId="3" r:id="rId6"/>
    <sheet name="Balance sheet " sheetId="4" r:id="rId7"/>
    <sheet name="Share price" sheetId="5" r:id="rId8"/>
  </sheets>
</workbook>
</file>

<file path=xl/sharedStrings.xml><?xml version="1.0" encoding="utf-8"?>
<sst xmlns="http://schemas.openxmlformats.org/spreadsheetml/2006/main" uniqueCount="53">
  <si>
    <t>Model</t>
  </si>
  <si>
    <t>Rpbn</t>
  </si>
  <si>
    <t>4Q 2022</t>
  </si>
  <si>
    <t xml:space="preserve">Cashflow </t>
  </si>
  <si>
    <t xml:space="preserve">Growth </t>
  </si>
  <si>
    <t>Sales</t>
  </si>
  <si>
    <t xml:space="preserve">Cost ratio </t>
  </si>
  <si>
    <t xml:space="preserve">Cash costs </t>
  </si>
  <si>
    <t xml:space="preserve">Non cash costs </t>
  </si>
  <si>
    <t xml:space="preserve">Profit </t>
  </si>
  <si>
    <t xml:space="preserve">Operating </t>
  </si>
  <si>
    <t xml:space="preserve">Investment </t>
  </si>
  <si>
    <t xml:space="preserve">Liabilities </t>
  </si>
  <si>
    <t xml:space="preserve">Revolver </t>
  </si>
  <si>
    <t xml:space="preserve">Payout </t>
  </si>
  <si>
    <t xml:space="preserve">Equity </t>
  </si>
  <si>
    <t xml:space="preserve">Before revolver </t>
  </si>
  <si>
    <t xml:space="preserve">Beginning </t>
  </si>
  <si>
    <t xml:space="preserve">Change </t>
  </si>
  <si>
    <t xml:space="preserve">Ending </t>
  </si>
  <si>
    <t xml:space="preserve">Balance sheet </t>
  </si>
  <si>
    <t xml:space="preserve">Other assets </t>
  </si>
  <si>
    <t xml:space="preserve">Depreciation </t>
  </si>
  <si>
    <t xml:space="preserve">Check </t>
  </si>
  <si>
    <t xml:space="preserve">Net cash </t>
  </si>
  <si>
    <t xml:space="preserve">Valuation </t>
  </si>
  <si>
    <t xml:space="preserve">Capital </t>
  </si>
  <si>
    <t xml:space="preserve">Current value </t>
  </si>
  <si>
    <t xml:space="preserve">P/assets </t>
  </si>
  <si>
    <t xml:space="preserve">Yield </t>
  </si>
  <si>
    <t xml:space="preserve">Payback </t>
  </si>
  <si>
    <t xml:space="preserve">Forecast </t>
  </si>
  <si>
    <t xml:space="preserve">Value </t>
  </si>
  <si>
    <t xml:space="preserve">Shares </t>
  </si>
  <si>
    <t xml:space="preserve">Target </t>
  </si>
  <si>
    <t xml:space="preserve">Current </t>
  </si>
  <si>
    <t xml:space="preserve">V target </t>
  </si>
  <si>
    <t xml:space="preserve">12 month growth </t>
  </si>
  <si>
    <t>Sales forecast</t>
  </si>
  <si>
    <t>Cashflow</t>
  </si>
  <si>
    <t xml:space="preserve">Receipts </t>
  </si>
  <si>
    <t>Leases</t>
  </si>
  <si>
    <t xml:space="preserve">Interest </t>
  </si>
  <si>
    <t xml:space="preserve">Finance </t>
  </si>
  <si>
    <t xml:space="preserve">Free cashflow </t>
  </si>
  <si>
    <t>Data</t>
  </si>
  <si>
    <t>Cash</t>
  </si>
  <si>
    <t>Assets</t>
  </si>
  <si>
    <t>Equity</t>
  </si>
  <si>
    <t>Net cash</t>
  </si>
  <si>
    <t>Share price</t>
  </si>
  <si>
    <t>CMRY</t>
  </si>
  <si>
    <t>Target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</si>
</sst>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0.0%"/>
    <numFmt numFmtId="60" formatCode="#,##0%"/>
  </numFmts>
  <fonts count="3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37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49" fontId="2" fillId="3" borderId="2" applyNumberFormat="1" applyFont="1" applyFill="1" applyBorder="1" applyAlignment="1" applyProtection="0">
      <alignment vertical="top" wrapText="1"/>
    </xf>
    <xf numFmtId="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60" fontId="0" borderId="6" applyNumberFormat="1" applyFont="1" applyFill="0" applyBorder="1" applyAlignment="1" applyProtection="0">
      <alignment vertical="top" wrapText="1"/>
    </xf>
    <xf numFmtId="60" fontId="0" borderId="7" applyNumberFormat="1" applyFont="1" applyFill="0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1" fontId="0" borderId="6" applyNumberFormat="1" applyFont="1" applyFill="0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6" applyNumberFormat="0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3" borderId="2" applyNumberFormat="1" applyFont="1" applyFill="1" applyBorder="1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60" fontId="0" borderId="4" applyNumberFormat="1" applyFont="1" applyFill="0" applyBorder="1" applyAlignment="1" applyProtection="0">
      <alignment vertical="top" wrapText="1"/>
    </xf>
    <xf numFmtId="0" fontId="2" fillId="3" borderId="5" applyNumberFormat="0" applyFont="1" applyFill="1" applyBorder="1" applyAlignment="1" applyProtection="0">
      <alignment vertical="top" wrapText="1"/>
    </xf>
    <xf numFmtId="0" fontId="2" fillId="3" borderId="5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2" borderId="1" applyNumberFormat="0" applyFont="1" applyFill="1" applyBorder="1" applyAlignment="1" applyProtection="0">
      <alignment horizontal="right"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5</xdr:col>
      <xdr:colOff>428733</xdr:colOff>
      <xdr:row>0</xdr:row>
      <xdr:rowOff>300458</xdr:rowOff>
    </xdr:from>
    <xdr:to>
      <xdr:col>12</xdr:col>
      <xdr:colOff>192376</xdr:colOff>
      <xdr:row>45</xdr:row>
      <xdr:rowOff>7277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149833" y="300458"/>
          <a:ext cx="8475844" cy="1126509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2:E44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" width="14.7656" style="1" customWidth="1"/>
    <col min="2" max="5" width="8.5" style="1" customWidth="1"/>
    <col min="6" max="16384" width="16.3516" style="1" customWidth="1"/>
  </cols>
  <sheetData>
    <row r="1" ht="27.65" customHeight="1">
      <c r="A1" t="s" s="2">
        <v>0</v>
      </c>
      <c r="B1" s="2"/>
      <c r="C1" s="2"/>
      <c r="D1" s="2"/>
      <c r="E1" s="2"/>
    </row>
    <row r="2" ht="20.25" customHeight="1">
      <c r="A2" t="s" s="3">
        <v>1</v>
      </c>
      <c r="B2" s="4"/>
      <c r="C2" s="4"/>
      <c r="D2" t="s" s="5">
        <v>2</v>
      </c>
      <c r="E2" s="4"/>
    </row>
    <row r="3" ht="20.25" customHeight="1">
      <c r="A3" t="s" s="6">
        <v>3</v>
      </c>
      <c r="B3" s="7">
        <f>AVERAGE('Sales'!F8:F11)</f>
        <v>0.212634822551802</v>
      </c>
      <c r="C3" s="8"/>
      <c r="D3" s="8"/>
      <c r="E3" s="9">
        <f>AVERAGE(B4:E4)</f>
        <v>0.06</v>
      </c>
    </row>
    <row r="4" ht="20.05" customHeight="1">
      <c r="A4" t="s" s="10">
        <v>4</v>
      </c>
      <c r="B4" s="11">
        <v>0.05</v>
      </c>
      <c r="C4" s="12">
        <v>0.1</v>
      </c>
      <c r="D4" s="12">
        <v>0.1</v>
      </c>
      <c r="E4" s="13">
        <v>-0.01</v>
      </c>
    </row>
    <row r="5" ht="20.05" customHeight="1">
      <c r="A5" t="s" s="10">
        <v>5</v>
      </c>
      <c r="B5" s="14">
        <f>'Sales'!B11*(1+B4)</f>
        <v>1543.5</v>
      </c>
      <c r="C5" s="15">
        <f>B5*(1+C4)</f>
        <v>1697.85</v>
      </c>
      <c r="D5" s="15">
        <f>C5*(1+D4)</f>
        <v>1867.635</v>
      </c>
      <c r="E5" s="15">
        <f>D5*(1+E4)</f>
        <v>1848.95865</v>
      </c>
    </row>
    <row r="6" ht="20.05" customHeight="1">
      <c r="A6" t="s" s="10">
        <v>6</v>
      </c>
      <c r="B6" s="16">
        <f>AVERAGE('Sales'!H11)</f>
        <v>-0.7893206004878059</v>
      </c>
      <c r="C6" s="17">
        <f>B6</f>
        <v>-0.7893206004878059</v>
      </c>
      <c r="D6" s="17">
        <f>C6</f>
        <v>-0.7893206004878059</v>
      </c>
      <c r="E6" s="17">
        <f>D6</f>
        <v>-0.7893206004878059</v>
      </c>
    </row>
    <row r="7" ht="20.05" customHeight="1">
      <c r="A7" t="s" s="10">
        <v>7</v>
      </c>
      <c r="B7" s="14">
        <f>B5*B6</f>
        <v>-1218.316346852930</v>
      </c>
      <c r="C7" s="18">
        <f>C5*C6</f>
        <v>-1340.147981538220</v>
      </c>
      <c r="D7" s="18">
        <f>D5*D6</f>
        <v>-1474.162779692040</v>
      </c>
      <c r="E7" s="18">
        <f>E5*E6</f>
        <v>-1459.421151895120</v>
      </c>
    </row>
    <row r="8" ht="20.05" customHeight="1">
      <c r="A8" t="s" s="10">
        <v>8</v>
      </c>
      <c r="B8" s="14">
        <f>-'Sales'!D11</f>
        <v>-19</v>
      </c>
      <c r="C8" s="15">
        <f>B8</f>
        <v>-19</v>
      </c>
      <c r="D8" s="15">
        <f>C8</f>
        <v>-19</v>
      </c>
      <c r="E8" s="15">
        <f>D8</f>
        <v>-19</v>
      </c>
    </row>
    <row r="9" ht="20.05" customHeight="1">
      <c r="A9" t="s" s="10">
        <v>9</v>
      </c>
      <c r="B9" s="14">
        <f>B5+B7+B8</f>
        <v>306.183653147070</v>
      </c>
      <c r="C9" s="18">
        <f>C5+C7+C8</f>
        <v>338.702018461780</v>
      </c>
      <c r="D9" s="18">
        <f>D5+D7+D8</f>
        <v>374.472220307960</v>
      </c>
      <c r="E9" s="18">
        <f>E5+E7+E8</f>
        <v>370.537498104880</v>
      </c>
    </row>
    <row r="10" ht="20.05" customHeight="1">
      <c r="A10" t="s" s="10">
        <v>10</v>
      </c>
      <c r="B10" s="14">
        <f>B5+B7</f>
        <v>325.183653147070</v>
      </c>
      <c r="C10" s="18">
        <f>C5+C7</f>
        <v>357.702018461780</v>
      </c>
      <c r="D10" s="18">
        <f>D5+D7</f>
        <v>393.472220307960</v>
      </c>
      <c r="E10" s="18">
        <f>E5+E7</f>
        <v>389.537498104880</v>
      </c>
    </row>
    <row r="11" ht="20.05" customHeight="1">
      <c r="A11" t="s" s="10">
        <v>11</v>
      </c>
      <c r="B11" s="14">
        <f>AVERAGE('Cashflow'!D10)</f>
        <v>-146.7</v>
      </c>
      <c r="C11" s="15">
        <f>B11</f>
        <v>-146.7</v>
      </c>
      <c r="D11" s="15">
        <f>C11</f>
        <v>-146.7</v>
      </c>
      <c r="E11" s="15">
        <f>D11</f>
        <v>-146.7</v>
      </c>
    </row>
    <row r="12" ht="20.05" customHeight="1">
      <c r="A12" t="s" s="10">
        <v>12</v>
      </c>
      <c r="B12" s="19">
        <f>-'Balance sheet '!F8/20</f>
        <v>-54.6</v>
      </c>
      <c r="C12" s="15">
        <f>-B23/20</f>
        <v>-51.87</v>
      </c>
      <c r="D12" s="15">
        <f>-C23/20</f>
        <v>-49.2765</v>
      </c>
      <c r="E12" s="15">
        <f>-D23/20</f>
        <v>-46.812675</v>
      </c>
    </row>
    <row r="13" ht="20.05" customHeight="1">
      <c r="A13" t="s" s="10">
        <v>13</v>
      </c>
      <c r="B13" s="19">
        <f>-MIN(0,B16)</f>
        <v>29.208173426465</v>
      </c>
      <c r="C13" s="18">
        <f>-MIN(B24,C16)</f>
        <v>10.218990769110</v>
      </c>
      <c r="D13" s="18">
        <f>-MIN(C24,D16)</f>
        <v>-10.259610153980</v>
      </c>
      <c r="E13" s="18">
        <f>-MIN(D24,E16)</f>
        <v>-10.756074052440</v>
      </c>
    </row>
    <row r="14" ht="20.05" customHeight="1">
      <c r="A14" t="s" s="10">
        <v>14</v>
      </c>
      <c r="B14" s="20">
        <v>0.5</v>
      </c>
      <c r="C14" s="21"/>
      <c r="D14" s="21"/>
      <c r="E14" s="21"/>
    </row>
    <row r="15" ht="20.05" customHeight="1">
      <c r="A15" t="s" s="10">
        <v>15</v>
      </c>
      <c r="B15" s="14">
        <f>IF(B9&gt;0,-B9*$B$14,0)</f>
        <v>-153.091826573535</v>
      </c>
      <c r="C15" s="18">
        <f>IF(C9&gt;0,-C9*$B$14,0)</f>
        <v>-169.351009230890</v>
      </c>
      <c r="D15" s="18">
        <f>IF(D9&gt;0,-D9*$B$14,0)</f>
        <v>-187.236110153980</v>
      </c>
      <c r="E15" s="18">
        <f>IF(E9&gt;0,-E9*$B$14,0)</f>
        <v>-185.268749052440</v>
      </c>
    </row>
    <row r="16" ht="20.05" customHeight="1">
      <c r="A16" t="s" s="10">
        <v>16</v>
      </c>
      <c r="B16" s="19">
        <f>B10+B11+B12+B15</f>
        <v>-29.208173426465</v>
      </c>
      <c r="C16" s="18">
        <f>C10+C11+C12+C15</f>
        <v>-10.218990769110</v>
      </c>
      <c r="D16" s="18">
        <f>D10+D11+D12+D15</f>
        <v>10.259610153980</v>
      </c>
      <c r="E16" s="18">
        <f>E10+E11+E12+E15</f>
        <v>10.756074052440</v>
      </c>
    </row>
    <row r="17" ht="20.05" customHeight="1">
      <c r="A17" t="s" s="10">
        <v>17</v>
      </c>
      <c r="B17" s="14">
        <f>'Balance sheet '!B8</f>
        <v>3102</v>
      </c>
      <c r="C17" s="15">
        <f>B19</f>
        <v>3102</v>
      </c>
      <c r="D17" s="15">
        <f>C19</f>
        <v>3102</v>
      </c>
      <c r="E17" s="15">
        <f>D19</f>
        <v>3102</v>
      </c>
    </row>
    <row r="18" ht="20.05" customHeight="1">
      <c r="A18" t="s" s="10">
        <v>18</v>
      </c>
      <c r="B18" s="19">
        <f>B10+B11+B12+B15+B13</f>
        <v>0</v>
      </c>
      <c r="C18" s="18">
        <f>C10+C11+C12+C15+C13</f>
        <v>0</v>
      </c>
      <c r="D18" s="18">
        <f>D10+D11+D12+D15+D13</f>
        <v>0</v>
      </c>
      <c r="E18" s="18">
        <f>E10+E11+E12+E15+E13</f>
        <v>0</v>
      </c>
    </row>
    <row r="19" ht="20.05" customHeight="1">
      <c r="A19" t="s" s="10">
        <v>19</v>
      </c>
      <c r="B19" s="14">
        <f>B17+B18</f>
        <v>3102</v>
      </c>
      <c r="C19" s="15">
        <f>C17+C18</f>
        <v>3102</v>
      </c>
      <c r="D19" s="15">
        <f>D17+D18</f>
        <v>3102</v>
      </c>
      <c r="E19" s="15">
        <f>E17+E18</f>
        <v>3102</v>
      </c>
    </row>
    <row r="20" ht="20.05" customHeight="1">
      <c r="A20" t="s" s="22">
        <v>20</v>
      </c>
      <c r="B20" s="23"/>
      <c r="C20" s="21"/>
      <c r="D20" s="21"/>
      <c r="E20" s="21"/>
    </row>
    <row r="21" ht="20.05" customHeight="1">
      <c r="A21" t="s" s="10">
        <v>21</v>
      </c>
      <c r="B21" s="14">
        <f>'Balance sheet '!D8+'Balance sheet '!E8-B11</f>
        <v>3266.7</v>
      </c>
      <c r="C21" s="15">
        <f>B21-C11</f>
        <v>3413.4</v>
      </c>
      <c r="D21" s="15">
        <f>C21-D11</f>
        <v>3560.1</v>
      </c>
      <c r="E21" s="15">
        <f>D21-E11</f>
        <v>3706.8</v>
      </c>
    </row>
    <row r="22" ht="20.05" customHeight="1">
      <c r="A22" t="s" s="10">
        <v>22</v>
      </c>
      <c r="B22" s="14">
        <f>'Balance sheet '!E8-B8</f>
        <v>182</v>
      </c>
      <c r="C22" s="15">
        <f>B22-C8</f>
        <v>201</v>
      </c>
      <c r="D22" s="15">
        <f>C22-D8</f>
        <v>220</v>
      </c>
      <c r="E22" s="15">
        <f>D22-E8</f>
        <v>239</v>
      </c>
    </row>
    <row r="23" ht="20.05" customHeight="1">
      <c r="A23" t="s" s="10">
        <v>12</v>
      </c>
      <c r="B23" s="14">
        <f>'Balance sheet '!F8+B12</f>
        <v>1037.4</v>
      </c>
      <c r="C23" s="15">
        <f>B23+C12</f>
        <v>985.53</v>
      </c>
      <c r="D23" s="15">
        <f>C23+D12</f>
        <v>936.2535</v>
      </c>
      <c r="E23" s="15">
        <f>D23+E12</f>
        <v>889.440825</v>
      </c>
    </row>
    <row r="24" ht="20.05" customHeight="1">
      <c r="A24" t="s" s="10">
        <v>13</v>
      </c>
      <c r="B24" s="19">
        <f>B13</f>
        <v>29.208173426465</v>
      </c>
      <c r="C24" s="18">
        <f>B24+C13</f>
        <v>39.427164195575</v>
      </c>
      <c r="D24" s="18">
        <f>C24+D13</f>
        <v>29.167554041595</v>
      </c>
      <c r="E24" s="18">
        <f>D24+E13</f>
        <v>18.411479989155</v>
      </c>
    </row>
    <row r="25" ht="20.05" customHeight="1">
      <c r="A25" t="s" s="10">
        <v>15</v>
      </c>
      <c r="B25" s="14">
        <f>'Balance sheet '!G8+B15+B9</f>
        <v>5120.091826573540</v>
      </c>
      <c r="C25" s="15">
        <f>B25+C15+C9</f>
        <v>5289.442835804430</v>
      </c>
      <c r="D25" s="15">
        <f>C25+D15+D9</f>
        <v>5476.678945958410</v>
      </c>
      <c r="E25" s="15">
        <f>D25+E15+E9</f>
        <v>5661.947695010850</v>
      </c>
    </row>
    <row r="26" ht="20.05" customHeight="1">
      <c r="A26" t="s" s="10">
        <v>23</v>
      </c>
      <c r="B26" s="14">
        <f>B23+B24+B25-B19-(B21-B22)</f>
        <v>5e-12</v>
      </c>
      <c r="C26" s="15">
        <f>C23+C24+C25-C19-(C21-C22)</f>
        <v>5e-12</v>
      </c>
      <c r="D26" s="15">
        <f>D23+D24+D25-D19-(D21-D22)</f>
        <v>5e-12</v>
      </c>
      <c r="E26" s="15">
        <f>E23+E24+E25-E19-(E21-E22)</f>
        <v>5e-12</v>
      </c>
    </row>
    <row r="27" ht="20.05" customHeight="1">
      <c r="A27" t="s" s="10">
        <v>24</v>
      </c>
      <c r="B27" s="14">
        <f>B19-B23-B24</f>
        <v>2035.391826573540</v>
      </c>
      <c r="C27" s="15">
        <f>C19-C23-C24</f>
        <v>2077.042835804430</v>
      </c>
      <c r="D27" s="15">
        <f>D19-D23-D24</f>
        <v>2136.578945958410</v>
      </c>
      <c r="E27" s="15">
        <f>E19-E23-E24</f>
        <v>2194.147695010850</v>
      </c>
    </row>
    <row r="28" ht="20.05" customHeight="1">
      <c r="A28" t="s" s="22">
        <v>25</v>
      </c>
      <c r="B28" s="23"/>
      <c r="C28" s="21"/>
      <c r="D28" s="21"/>
      <c r="E28" s="21"/>
    </row>
    <row r="29" ht="20.05" customHeight="1">
      <c r="A29" t="s" s="10">
        <v>26</v>
      </c>
      <c r="B29" s="14">
        <f>'Cashflow'!M11-(B12+B13+B15)</f>
        <v>-2991.516346852930</v>
      </c>
      <c r="C29" s="15">
        <f>B29-(C12+C13+C15)</f>
        <v>-2780.514328391150</v>
      </c>
      <c r="D29" s="15">
        <f>C29-(D12+D13+D15)</f>
        <v>-2533.742108083190</v>
      </c>
      <c r="E29" s="15">
        <f>D29-(E12+E13+E15)</f>
        <v>-2290.904609978310</v>
      </c>
    </row>
    <row r="30" ht="20.05" customHeight="1">
      <c r="A30" t="s" s="10">
        <v>27</v>
      </c>
      <c r="B30" s="23"/>
      <c r="C30" s="21"/>
      <c r="D30" s="21"/>
      <c r="E30" s="15">
        <v>32452842094592</v>
      </c>
    </row>
    <row r="31" ht="20.05" customHeight="1">
      <c r="A31" t="s" s="10">
        <v>27</v>
      </c>
      <c r="B31" s="23"/>
      <c r="C31" s="21"/>
      <c r="D31" s="21"/>
      <c r="E31" s="15">
        <f>E30/1000000000</f>
        <v>32452.842094592</v>
      </c>
    </row>
    <row r="32" ht="20.05" customHeight="1">
      <c r="A32" t="s" s="10">
        <v>28</v>
      </c>
      <c r="B32" s="23"/>
      <c r="C32" s="21"/>
      <c r="D32" s="21"/>
      <c r="E32" s="24">
        <f>E31/(E19+E21-E22)</f>
        <v>4.93970015747694</v>
      </c>
    </row>
    <row r="33" ht="20.05" customHeight="1">
      <c r="A33" t="s" s="10">
        <v>29</v>
      </c>
      <c r="B33" s="23"/>
      <c r="C33" s="21"/>
      <c r="D33" s="21"/>
      <c r="E33" s="17">
        <f>-(B15+C15+D15+E15)/E31</f>
        <v>0.0214140780947704</v>
      </c>
    </row>
    <row r="34" ht="20.05" customHeight="1">
      <c r="A34" t="s" s="10">
        <v>3</v>
      </c>
      <c r="B34" s="23"/>
      <c r="C34" s="21"/>
      <c r="D34" s="21"/>
      <c r="E34" s="15">
        <f>SUM(B10:E11)</f>
        <v>879.095390021690</v>
      </c>
    </row>
    <row r="35" ht="20.05" customHeight="1">
      <c r="A35" t="s" s="10">
        <v>30</v>
      </c>
      <c r="B35" s="23"/>
      <c r="C35" s="21"/>
      <c r="D35" s="21"/>
      <c r="E35" s="15">
        <f>'Balance sheet '!D8/E34</f>
        <v>3.3636850261802</v>
      </c>
    </row>
    <row r="36" ht="20.05" customHeight="1">
      <c r="A36" t="s" s="10">
        <v>25</v>
      </c>
      <c r="B36" s="23"/>
      <c r="C36" s="21"/>
      <c r="D36" s="21"/>
      <c r="E36" s="15">
        <f>E31/E34</f>
        <v>36.9161782247445</v>
      </c>
    </row>
    <row r="37" ht="20.05" customHeight="1">
      <c r="A37" t="s" s="10">
        <v>31</v>
      </c>
      <c r="B37" s="23"/>
      <c r="C37" s="21"/>
      <c r="D37" s="21"/>
      <c r="E37" s="25">
        <v>35</v>
      </c>
    </row>
    <row r="38" ht="20.05" customHeight="1">
      <c r="A38" t="s" s="10">
        <v>32</v>
      </c>
      <c r="B38" s="23"/>
      <c r="C38" s="21"/>
      <c r="D38" s="21"/>
      <c r="E38" s="18">
        <f>E34*E37</f>
        <v>30768.3386507592</v>
      </c>
    </row>
    <row r="39" ht="20.05" customHeight="1">
      <c r="A39" t="s" s="10">
        <v>33</v>
      </c>
      <c r="B39" s="23"/>
      <c r="C39" s="21"/>
      <c r="D39" s="21"/>
      <c r="E39" s="15">
        <f>E31/E41</f>
        <v>7.93468021872665</v>
      </c>
    </row>
    <row r="40" ht="20.05" customHeight="1">
      <c r="A40" t="s" s="10">
        <v>34</v>
      </c>
      <c r="B40" s="23"/>
      <c r="C40" s="21"/>
      <c r="D40" s="21"/>
      <c r="E40" s="15">
        <f>E38/E39</f>
        <v>3877.703675838480</v>
      </c>
    </row>
    <row r="41" ht="20.05" customHeight="1">
      <c r="A41" t="s" s="10">
        <v>35</v>
      </c>
      <c r="B41" s="23"/>
      <c r="C41" s="21"/>
      <c r="D41" s="21"/>
      <c r="E41" s="15">
        <v>4090</v>
      </c>
    </row>
    <row r="42" ht="20.05" customHeight="1">
      <c r="A42" t="s" s="10">
        <v>36</v>
      </c>
      <c r="B42" s="23"/>
      <c r="C42" s="21"/>
      <c r="D42" s="21"/>
      <c r="E42" s="17">
        <f>E40/E41-1</f>
        <v>-0.051906191726533</v>
      </c>
    </row>
    <row r="43" ht="20.05" customHeight="1">
      <c r="A43" t="s" s="10">
        <v>37</v>
      </c>
      <c r="B43" s="23"/>
      <c r="C43" s="21"/>
      <c r="D43" s="21"/>
      <c r="E43" s="17">
        <f>'Sales'!B11/'Sales'!B7-1</f>
        <v>1.0617110799439</v>
      </c>
    </row>
    <row r="44" ht="20.05" customHeight="1">
      <c r="A44" t="s" s="10">
        <v>38</v>
      </c>
      <c r="B44" s="23"/>
      <c r="C44" s="21"/>
      <c r="D44" s="21"/>
      <c r="E44" s="17">
        <f>'Sales'!E15/'Sales'!D15-1</f>
        <v>-0.0054421768707483</v>
      </c>
    </row>
  </sheetData>
  <mergeCells count="1">
    <mergeCell ref="A1:E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2:I17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9" width="11.1797" style="26" customWidth="1"/>
    <col min="10" max="16384" width="16.3516" style="26" customWidth="1"/>
  </cols>
  <sheetData>
    <row r="1" ht="27.65" customHeight="1">
      <c r="A1" t="s" s="2">
        <v>5</v>
      </c>
      <c r="B1" s="2"/>
      <c r="C1" s="2"/>
      <c r="D1" s="2"/>
      <c r="E1" s="2"/>
      <c r="F1" s="2"/>
      <c r="G1" s="2"/>
      <c r="H1" s="2"/>
      <c r="I1" s="2"/>
    </row>
    <row r="2" ht="32.25" customHeight="1">
      <c r="A2" t="s" s="5">
        <v>1</v>
      </c>
      <c r="B2" t="s" s="5">
        <v>5</v>
      </c>
      <c r="C2" t="s" s="5">
        <v>31</v>
      </c>
      <c r="D2" t="s" s="5">
        <v>22</v>
      </c>
      <c r="E2" t="s" s="5">
        <v>9</v>
      </c>
      <c r="F2" t="s" s="5">
        <v>4</v>
      </c>
      <c r="G2" t="s" s="5">
        <v>6</v>
      </c>
      <c r="H2" t="s" s="5">
        <v>6</v>
      </c>
      <c r="I2" t="s" s="5">
        <v>31</v>
      </c>
    </row>
    <row r="3" ht="20.25" customHeight="1">
      <c r="A3" s="27">
        <v>2020</v>
      </c>
      <c r="B3" s="28">
        <f t="shared" si="0" ref="B3:B6">1862/4</f>
        <v>465.5</v>
      </c>
      <c r="C3" s="29"/>
      <c r="D3" s="29">
        <v>18</v>
      </c>
      <c r="E3" s="29">
        <v>44.25</v>
      </c>
      <c r="F3" s="29"/>
      <c r="G3" s="30">
        <f>(E3+D3-B3)/B3</f>
        <v>-0.866272824919441</v>
      </c>
      <c r="H3" s="30"/>
      <c r="I3" s="30"/>
    </row>
    <row r="4" ht="20.05" customHeight="1">
      <c r="A4" s="31"/>
      <c r="B4" s="14">
        <f t="shared" si="0"/>
        <v>465.5</v>
      </c>
      <c r="C4" s="15"/>
      <c r="D4" s="15">
        <v>18</v>
      </c>
      <c r="E4" s="15">
        <v>44.25</v>
      </c>
      <c r="F4" s="15"/>
      <c r="G4" s="17">
        <f>(E4+D4-B4)/B4</f>
        <v>-0.866272824919441</v>
      </c>
      <c r="H4" s="17">
        <f>AVERAGE(G2:G4)</f>
        <v>-0.866272824919441</v>
      </c>
      <c r="I4" s="17"/>
    </row>
    <row r="5" ht="20.05" customHeight="1">
      <c r="A5" s="31"/>
      <c r="B5" s="14">
        <f t="shared" si="0"/>
        <v>465.5</v>
      </c>
      <c r="C5" s="15"/>
      <c r="D5" s="15">
        <v>18</v>
      </c>
      <c r="E5" s="15">
        <v>44.25</v>
      </c>
      <c r="F5" s="15"/>
      <c r="G5" s="17">
        <f>(E5+D5-B5)/B5</f>
        <v>-0.866272824919441</v>
      </c>
      <c r="H5" s="17">
        <f>AVERAGE(G2:G5)</f>
        <v>-0.866272824919441</v>
      </c>
      <c r="I5" s="17"/>
    </row>
    <row r="6" ht="20.05" customHeight="1">
      <c r="A6" s="31"/>
      <c r="B6" s="14">
        <f t="shared" si="0"/>
        <v>465.5</v>
      </c>
      <c r="C6" s="15"/>
      <c r="D6" s="15">
        <v>18</v>
      </c>
      <c r="E6" s="15">
        <v>44.25</v>
      </c>
      <c r="F6" s="15"/>
      <c r="G6" s="17">
        <f>(E6+D6-B6)/B6</f>
        <v>-0.866272824919441</v>
      </c>
      <c r="H6" s="17">
        <f>AVERAGE(G2:G6)</f>
        <v>-0.866272824919441</v>
      </c>
      <c r="I6" s="17"/>
    </row>
    <row r="7" ht="20.05" customHeight="1">
      <c r="A7" s="32">
        <v>2021</v>
      </c>
      <c r="B7" s="20">
        <v>713</v>
      </c>
      <c r="C7" s="15"/>
      <c r="D7" s="15">
        <v>18</v>
      </c>
      <c r="E7" s="25">
        <v>143</v>
      </c>
      <c r="F7" s="17">
        <f>B7/B3-1</f>
        <v>0.531686358754028</v>
      </c>
      <c r="G7" s="17">
        <f>(E7+D7-B7)/B7</f>
        <v>-0.774193548387097</v>
      </c>
      <c r="H7" s="17">
        <f>AVERAGE(G2:G7)</f>
        <v>-0.847856969612972</v>
      </c>
      <c r="I7" s="17"/>
    </row>
    <row r="8" ht="20.05" customHeight="1">
      <c r="A8" s="31"/>
      <c r="B8" s="14">
        <v>996</v>
      </c>
      <c r="C8" s="15"/>
      <c r="D8" s="15">
        <v>18</v>
      </c>
      <c r="E8" s="15">
        <v>231.5</v>
      </c>
      <c r="F8" s="17">
        <f>B8/B7-1</f>
        <v>0.396914446002805</v>
      </c>
      <c r="G8" s="17">
        <f>(E8+D8-B8)/B8</f>
        <v>-0.749497991967871</v>
      </c>
      <c r="H8" s="17">
        <f>AVERAGE(G2:G8)</f>
        <v>-0.8314638066721221</v>
      </c>
      <c r="I8" s="17"/>
    </row>
    <row r="9" ht="20.05" customHeight="1">
      <c r="A9" s="31"/>
      <c r="B9" s="14">
        <v>996</v>
      </c>
      <c r="C9" s="15"/>
      <c r="D9" s="15">
        <v>18</v>
      </c>
      <c r="E9" s="15">
        <v>231.5</v>
      </c>
      <c r="F9" s="17">
        <f>B9/B8-1</f>
        <v>0</v>
      </c>
      <c r="G9" s="17">
        <f>(E9+D9-B9)/B9</f>
        <v>-0.749497991967871</v>
      </c>
      <c r="H9" s="17">
        <f>AVERAGE(G3:G9)</f>
        <v>-0.819754404571515</v>
      </c>
      <c r="I9" s="17"/>
    </row>
    <row r="10" ht="20.05" customHeight="1">
      <c r="A10" s="31"/>
      <c r="B10" s="14">
        <v>1392</v>
      </c>
      <c r="C10" s="15"/>
      <c r="D10" s="15">
        <v>18</v>
      </c>
      <c r="E10" s="15">
        <v>184</v>
      </c>
      <c r="F10" s="17">
        <f>B10/B9-1</f>
        <v>0.397590361445783</v>
      </c>
      <c r="G10" s="17">
        <f>(E10+D10-B10)/B10</f>
        <v>-0.854885057471264</v>
      </c>
      <c r="H10" s="17">
        <f>AVERAGE(G7:G10)</f>
        <v>-0.782018647448526</v>
      </c>
      <c r="I10" s="17"/>
    </row>
    <row r="11" ht="20.05" customHeight="1">
      <c r="A11" s="32">
        <v>2022</v>
      </c>
      <c r="B11" s="14">
        <v>1470</v>
      </c>
      <c r="C11" s="15">
        <v>1462</v>
      </c>
      <c r="D11" s="15">
        <v>19</v>
      </c>
      <c r="E11" s="15">
        <v>270</v>
      </c>
      <c r="F11" s="17">
        <f>B11/B10-1</f>
        <v>0.0560344827586207</v>
      </c>
      <c r="G11" s="17">
        <f>(E11+D11-B11)/B11</f>
        <v>-0.803401360544218</v>
      </c>
      <c r="H11" s="17">
        <f>AVERAGE(G8:G11)</f>
        <v>-0.7893206004878059</v>
      </c>
      <c r="I11" s="17">
        <v>-0.8100000000000001</v>
      </c>
    </row>
    <row r="12" ht="20.05" customHeight="1">
      <c r="A12" s="31"/>
      <c r="B12" s="14"/>
      <c r="C12" s="15">
        <f>'Model'!B5</f>
        <v>1543.5</v>
      </c>
      <c r="D12" s="15"/>
      <c r="E12" s="15"/>
      <c r="F12" s="15"/>
      <c r="G12" s="17"/>
      <c r="H12" s="17"/>
      <c r="I12" s="17">
        <f>'Model'!B6</f>
        <v>-0.7893206004878059</v>
      </c>
    </row>
    <row r="13" ht="20.05" customHeight="1">
      <c r="A13" s="31"/>
      <c r="B13" s="14"/>
      <c r="C13" s="15">
        <f>'Model'!C5</f>
        <v>1697.85</v>
      </c>
      <c r="D13" s="15"/>
      <c r="E13" s="15"/>
      <c r="F13" s="15"/>
      <c r="G13" s="15"/>
      <c r="H13" s="15"/>
      <c r="I13" s="15"/>
    </row>
    <row r="14" ht="20.05" customHeight="1">
      <c r="A14" s="31"/>
      <c r="B14" s="14"/>
      <c r="C14" s="15">
        <f>'Model'!D5</f>
        <v>1867.635</v>
      </c>
      <c r="D14" s="15"/>
      <c r="E14" s="15"/>
      <c r="F14" s="15"/>
      <c r="G14" s="15"/>
      <c r="H14" s="15"/>
      <c r="I14" s="15"/>
    </row>
    <row r="15" ht="20.05" customHeight="1">
      <c r="A15" s="32">
        <v>2023</v>
      </c>
      <c r="B15" s="14"/>
      <c r="C15" s="15">
        <f>'Model'!E5</f>
        <v>1848.95865</v>
      </c>
      <c r="D15" s="15">
        <f>B11</f>
        <v>1470</v>
      </c>
      <c r="E15" s="15">
        <f>C11</f>
        <v>1462</v>
      </c>
      <c r="F15" s="15"/>
      <c r="G15" s="15"/>
      <c r="H15" s="15"/>
      <c r="I15" s="15"/>
    </row>
    <row r="16" ht="20.05" customHeight="1">
      <c r="A16" s="31"/>
      <c r="B16" s="14"/>
      <c r="C16" s="15"/>
      <c r="D16" s="15"/>
      <c r="E16" s="15"/>
      <c r="F16" s="15"/>
      <c r="G16" s="15"/>
      <c r="H16" s="15"/>
      <c r="I16" s="15"/>
    </row>
    <row r="17" ht="20.05" customHeight="1">
      <c r="A17" s="31"/>
      <c r="B17" s="14"/>
      <c r="C17" s="15"/>
      <c r="D17" s="15"/>
      <c r="E17" s="15"/>
      <c r="F17" s="15"/>
      <c r="G17" s="15"/>
      <c r="H17" s="15"/>
      <c r="I17" s="15"/>
    </row>
  </sheetData>
  <mergeCells count="1">
    <mergeCell ref="A1:I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2:O12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5" width="9.5625" style="33" customWidth="1"/>
    <col min="16" max="16384" width="16.3516" style="33" customWidth="1"/>
  </cols>
  <sheetData>
    <row r="1" ht="27.65" customHeight="1">
      <c r="A1" t="s" s="2">
        <v>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32.25" customHeight="1">
      <c r="A2" t="s" s="5">
        <v>1</v>
      </c>
      <c r="B2" t="s" s="5">
        <v>40</v>
      </c>
      <c r="C2" t="s" s="5">
        <v>10</v>
      </c>
      <c r="D2" t="s" s="5">
        <v>11</v>
      </c>
      <c r="E2" t="s" s="5">
        <v>41</v>
      </c>
      <c r="F2" t="s" s="5">
        <v>42</v>
      </c>
      <c r="G2" t="s" s="5">
        <v>12</v>
      </c>
      <c r="H2" t="s" s="5">
        <v>15</v>
      </c>
      <c r="I2" t="s" s="5">
        <v>43</v>
      </c>
      <c r="J2" t="s" s="5">
        <v>44</v>
      </c>
      <c r="K2" t="s" s="5">
        <v>3</v>
      </c>
      <c r="L2" t="s" s="5">
        <v>31</v>
      </c>
      <c r="M2" t="s" s="5">
        <v>26</v>
      </c>
      <c r="N2" t="s" s="5">
        <v>31</v>
      </c>
      <c r="O2" s="34"/>
    </row>
    <row r="3" ht="20.25" customHeight="1">
      <c r="A3" s="27">
        <v>2020</v>
      </c>
      <c r="B3" s="28">
        <v>431</v>
      </c>
      <c r="C3" s="29">
        <v>49.725</v>
      </c>
      <c r="D3" s="29">
        <v>-26.325</v>
      </c>
      <c r="E3" s="29">
        <v>-2.25</v>
      </c>
      <c r="F3" s="29">
        <v>-1.25</v>
      </c>
      <c r="G3" s="29">
        <v>0</v>
      </c>
      <c r="H3" s="29">
        <v>0</v>
      </c>
      <c r="I3" s="29">
        <v>-8</v>
      </c>
      <c r="J3" s="29">
        <f>C3+D3+F3+E3</f>
        <v>19.9</v>
      </c>
      <c r="K3" s="29"/>
      <c r="L3" s="29"/>
      <c r="M3" s="29">
        <f>-(G3+H3)</f>
        <v>0</v>
      </c>
      <c r="N3" s="29"/>
      <c r="O3" s="29">
        <v>1</v>
      </c>
    </row>
    <row r="4" ht="20.05" customHeight="1">
      <c r="A4" s="31"/>
      <c r="B4" s="14">
        <v>431</v>
      </c>
      <c r="C4" s="15">
        <v>49.725</v>
      </c>
      <c r="D4" s="15">
        <v>-26.325</v>
      </c>
      <c r="E4" s="15">
        <v>-2.25</v>
      </c>
      <c r="F4" s="15">
        <v>-1.25</v>
      </c>
      <c r="G4" s="15">
        <v>0</v>
      </c>
      <c r="H4" s="15">
        <v>0</v>
      </c>
      <c r="I4" s="15">
        <v>-8</v>
      </c>
      <c r="J4" s="15">
        <f>C4+D4+F4+E4</f>
        <v>19.9</v>
      </c>
      <c r="K4" s="15">
        <f>AVERAGE(J2:J4)</f>
        <v>19.9</v>
      </c>
      <c r="L4" s="15"/>
      <c r="M4" s="15">
        <f>-(G4+H4)+M3</f>
        <v>0</v>
      </c>
      <c r="N4" s="15"/>
      <c r="O4" s="15">
        <f>1+O3</f>
        <v>2</v>
      </c>
    </row>
    <row r="5" ht="20.05" customHeight="1">
      <c r="A5" s="31"/>
      <c r="B5" s="14">
        <v>431</v>
      </c>
      <c r="C5" s="15">
        <v>49.725</v>
      </c>
      <c r="D5" s="15">
        <v>-26.325</v>
      </c>
      <c r="E5" s="15">
        <v>-2.25</v>
      </c>
      <c r="F5" s="15">
        <v>-1.25</v>
      </c>
      <c r="G5" s="15">
        <v>0</v>
      </c>
      <c r="H5" s="15">
        <v>0</v>
      </c>
      <c r="I5" s="15">
        <v>-8</v>
      </c>
      <c r="J5" s="15">
        <f>C5+D5+F5+E5</f>
        <v>19.9</v>
      </c>
      <c r="K5" s="15">
        <f>AVERAGE(J2:J5)</f>
        <v>19.9</v>
      </c>
      <c r="L5" s="15"/>
      <c r="M5" s="15">
        <f>-(G5+H5)+M4</f>
        <v>0</v>
      </c>
      <c r="N5" s="15"/>
      <c r="O5" s="15">
        <f>1+O4</f>
        <v>3</v>
      </c>
    </row>
    <row r="6" ht="20.05" customHeight="1">
      <c r="A6" s="31"/>
      <c r="B6" s="14">
        <v>431</v>
      </c>
      <c r="C6" s="15">
        <v>49.725</v>
      </c>
      <c r="D6" s="15">
        <v>-26.325</v>
      </c>
      <c r="E6" s="15">
        <v>-2.25</v>
      </c>
      <c r="F6" s="15">
        <v>-1.25</v>
      </c>
      <c r="G6" s="15">
        <v>0</v>
      </c>
      <c r="H6" s="15">
        <v>0</v>
      </c>
      <c r="I6" s="15">
        <v>-8</v>
      </c>
      <c r="J6" s="15">
        <f>C6+D6+F6+E6</f>
        <v>19.9</v>
      </c>
      <c r="K6" s="15">
        <f>AVERAGE(J3:J6)</f>
        <v>19.9</v>
      </c>
      <c r="L6" s="15"/>
      <c r="M6" s="15">
        <f>-(G6+H6)+M5</f>
        <v>0</v>
      </c>
      <c r="N6" s="15"/>
      <c r="O6" s="15">
        <f>1+O5</f>
        <v>4</v>
      </c>
    </row>
    <row r="7" ht="20.05" customHeight="1">
      <c r="A7" s="32">
        <v>2021</v>
      </c>
      <c r="B7" s="20">
        <v>663</v>
      </c>
      <c r="C7" s="25">
        <v>133.9</v>
      </c>
      <c r="D7" s="25">
        <v>-43.8</v>
      </c>
      <c r="E7" s="25">
        <v>0</v>
      </c>
      <c r="F7" s="25">
        <v>0</v>
      </c>
      <c r="G7" s="25">
        <v>-0.1</v>
      </c>
      <c r="H7" s="25">
        <v>0</v>
      </c>
      <c r="I7" s="25">
        <v>-0.1</v>
      </c>
      <c r="J7" s="15">
        <f>C7+D7+F7+E7</f>
        <v>90.09999999999999</v>
      </c>
      <c r="K7" s="15">
        <f>AVERAGE(J4:J7)</f>
        <v>37.45</v>
      </c>
      <c r="L7" s="15"/>
      <c r="M7" s="15">
        <f>-(G7+H7)+M6</f>
        <v>0.1</v>
      </c>
      <c r="N7" s="15"/>
      <c r="O7" s="15">
        <f>1+O6</f>
        <v>5</v>
      </c>
    </row>
    <row r="8" ht="20.05" customHeight="1">
      <c r="A8" s="31"/>
      <c r="B8" s="14">
        <v>926.5</v>
      </c>
      <c r="C8" s="15">
        <v>181.45</v>
      </c>
      <c r="D8" s="15">
        <v>-49</v>
      </c>
      <c r="E8" s="15">
        <v>-4</v>
      </c>
      <c r="F8" s="15">
        <v>-1.5</v>
      </c>
      <c r="G8" s="15">
        <v>0.05</v>
      </c>
      <c r="H8" s="15">
        <v>-200</v>
      </c>
      <c r="I8" s="15">
        <v>-205.15</v>
      </c>
      <c r="J8" s="15">
        <f>C8+D8+F8+E8</f>
        <v>126.95</v>
      </c>
      <c r="K8" s="15">
        <f>AVERAGE(J5:J8)</f>
        <v>64.21250000000001</v>
      </c>
      <c r="L8" s="15"/>
      <c r="M8" s="15">
        <f>-(G8+H8)+M7</f>
        <v>200.05</v>
      </c>
      <c r="N8" s="15"/>
      <c r="O8" s="15">
        <f>1+O7</f>
        <v>6</v>
      </c>
    </row>
    <row r="9" ht="20.05" customHeight="1">
      <c r="A9" s="31"/>
      <c r="B9" s="14">
        <v>926.5</v>
      </c>
      <c r="C9" s="15">
        <v>181.45</v>
      </c>
      <c r="D9" s="15">
        <v>-49</v>
      </c>
      <c r="E9" s="15">
        <v>-4</v>
      </c>
      <c r="F9" s="15">
        <v>-1.5</v>
      </c>
      <c r="G9" s="15">
        <v>0.05</v>
      </c>
      <c r="H9" s="15">
        <v>-200</v>
      </c>
      <c r="I9" s="15">
        <v>-205.15</v>
      </c>
      <c r="J9" s="15">
        <f>C9+D9+F9+E9</f>
        <v>126.95</v>
      </c>
      <c r="K9" s="15">
        <f>AVERAGE(J6:J9)</f>
        <v>90.97499999999999</v>
      </c>
      <c r="L9" s="15"/>
      <c r="M9" s="15">
        <f>-(G9+H9)+M8</f>
        <v>400</v>
      </c>
      <c r="N9" s="15"/>
      <c r="O9" s="15">
        <f>1+O8</f>
        <v>7</v>
      </c>
    </row>
    <row r="10" ht="20.05" customHeight="1">
      <c r="A10" s="31"/>
      <c r="B10" s="14">
        <v>1267</v>
      </c>
      <c r="C10" s="15">
        <v>228.9</v>
      </c>
      <c r="D10" s="15">
        <v>-146.7</v>
      </c>
      <c r="E10" s="15">
        <v>-1</v>
      </c>
      <c r="F10" s="15">
        <v>0</v>
      </c>
      <c r="G10" s="15">
        <v>0</v>
      </c>
      <c r="H10" s="15">
        <v>3570</v>
      </c>
      <c r="I10" s="15">
        <v>3568.1</v>
      </c>
      <c r="J10" s="15">
        <f>C10+D10+F10+E10</f>
        <v>81.2</v>
      </c>
      <c r="K10" s="15">
        <f>AVERAGE(J7:J10)</f>
        <v>106.3</v>
      </c>
      <c r="L10" s="15"/>
      <c r="M10" s="15">
        <f>-(G10+H10)+M9</f>
        <v>-3170</v>
      </c>
      <c r="N10" s="15"/>
      <c r="O10" s="15">
        <f>1+O9</f>
        <v>8</v>
      </c>
    </row>
    <row r="11" ht="20.05" customHeight="1">
      <c r="A11" s="32">
        <v>2022</v>
      </c>
      <c r="B11" s="14">
        <v>1420</v>
      </c>
      <c r="C11" s="15">
        <v>282.1</v>
      </c>
      <c r="D11" s="15">
        <v>-838.6</v>
      </c>
      <c r="E11" s="15">
        <v>-3</v>
      </c>
      <c r="F11" s="15">
        <v>-0.6</v>
      </c>
      <c r="G11" s="15">
        <v>0</v>
      </c>
      <c r="H11" s="15">
        <v>0</v>
      </c>
      <c r="I11" s="15">
        <v>-3.5</v>
      </c>
      <c r="J11" s="15">
        <f>C11+D11+F11+E11</f>
        <v>-560.1</v>
      </c>
      <c r="K11" s="15">
        <f>AVERAGE(J8:J11)</f>
        <v>-56.25</v>
      </c>
      <c r="L11" s="15">
        <f>274-96</f>
        <v>178</v>
      </c>
      <c r="M11" s="15">
        <f>-(G11+H11)+M10</f>
        <v>-3170</v>
      </c>
      <c r="N11" s="15">
        <f>M11</f>
        <v>-3170</v>
      </c>
      <c r="O11" s="15">
        <f>1+O10</f>
        <v>9</v>
      </c>
    </row>
    <row r="12" ht="20.05" customHeight="1">
      <c r="A12" s="31"/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>
        <f>SUM('Model'!E10:E11)</f>
        <v>242.837498104880</v>
      </c>
      <c r="M12" s="15"/>
      <c r="N12" s="15">
        <f>'Model'!E29</f>
        <v>-2290.904609978310</v>
      </c>
      <c r="O12" s="15"/>
    </row>
  </sheetData>
  <mergeCells count="1">
    <mergeCell ref="A1:O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2:J14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0" width="11.1797" style="35" customWidth="1"/>
    <col min="11" max="16384" width="16.3516" style="35" customWidth="1"/>
  </cols>
  <sheetData>
    <row r="1" ht="27.65" customHeight="1">
      <c r="A1" t="s" s="2">
        <v>45</v>
      </c>
      <c r="B1" s="2"/>
      <c r="C1" s="2"/>
      <c r="D1" s="2"/>
      <c r="E1" s="2"/>
      <c r="F1" s="2"/>
      <c r="G1" s="2"/>
      <c r="H1" s="2"/>
      <c r="I1" s="2"/>
      <c r="J1" s="2"/>
    </row>
    <row r="2" ht="32.25" customHeight="1">
      <c r="A2" t="s" s="5">
        <v>1</v>
      </c>
      <c r="B2" t="s" s="5">
        <v>46</v>
      </c>
      <c r="C2" t="s" s="5">
        <v>47</v>
      </c>
      <c r="D2" t="s" s="5">
        <v>21</v>
      </c>
      <c r="E2" t="s" s="5">
        <v>22</v>
      </c>
      <c r="F2" t="s" s="5">
        <v>12</v>
      </c>
      <c r="G2" t="s" s="5">
        <v>48</v>
      </c>
      <c r="H2" t="s" s="5">
        <v>23</v>
      </c>
      <c r="I2" t="s" s="5">
        <v>49</v>
      </c>
      <c r="J2" t="s" s="5">
        <v>31</v>
      </c>
    </row>
    <row r="3" ht="20.25" customHeight="1">
      <c r="A3" s="27">
        <v>2020</v>
      </c>
      <c r="B3" s="28">
        <v>90</v>
      </c>
      <c r="C3" s="29">
        <v>1087</v>
      </c>
      <c r="D3" s="29">
        <f>C3-B3</f>
        <v>997</v>
      </c>
      <c r="E3" s="29"/>
      <c r="F3" s="29">
        <v>352</v>
      </c>
      <c r="G3" s="29">
        <f>C3-F3</f>
        <v>735</v>
      </c>
      <c r="H3" s="29">
        <f>B3+D3-F3-G3</f>
        <v>0</v>
      </c>
      <c r="I3" s="29">
        <f>B3-F3</f>
        <v>-262</v>
      </c>
      <c r="J3" s="29"/>
    </row>
    <row r="4" ht="20.05" customHeight="1">
      <c r="A4" s="32">
        <v>2021</v>
      </c>
      <c r="B4" s="14">
        <f>B5-('Cashflow'!C8+'Cashflow'!D8+'Cashflow'!I8)</f>
        <v>157.1</v>
      </c>
      <c r="C4" s="15">
        <v>1087</v>
      </c>
      <c r="D4" s="15">
        <f>C4-B4</f>
        <v>929.9</v>
      </c>
      <c r="E4" s="21"/>
      <c r="F4" s="15">
        <v>352</v>
      </c>
      <c r="G4" s="15">
        <f>C4-F4</f>
        <v>735</v>
      </c>
      <c r="H4" s="15">
        <f>B4+D4-F4-G4</f>
        <v>0</v>
      </c>
      <c r="I4" s="15">
        <f>B4-F4</f>
        <v>-194.9</v>
      </c>
      <c r="J4" s="21"/>
    </row>
    <row r="5" ht="20.05" customHeight="1">
      <c r="A5" s="31"/>
      <c r="B5" s="14">
        <f>B6-('Cashflow'!C9+'Cashflow'!D9+'Cashflow'!I9)</f>
        <v>84.40000000000001</v>
      </c>
      <c r="C5" s="15">
        <v>1087</v>
      </c>
      <c r="D5" s="15">
        <f>C5-B5</f>
        <v>1002.6</v>
      </c>
      <c r="E5" s="15"/>
      <c r="F5" s="15">
        <v>352</v>
      </c>
      <c r="G5" s="15">
        <f>C5-F5</f>
        <v>735</v>
      </c>
      <c r="H5" s="15">
        <f>B5+D5-F5-G5</f>
        <v>0</v>
      </c>
      <c r="I5" s="15">
        <f>B5-F5</f>
        <v>-267.6</v>
      </c>
      <c r="J5" s="15"/>
    </row>
    <row r="6" ht="20.05" customHeight="1">
      <c r="A6" s="31"/>
      <c r="B6" s="14">
        <f>B7-('Cashflow'!C10+'Cashflow'!D10+'Cashflow'!I10)</f>
        <v>11.7</v>
      </c>
      <c r="C6" s="15">
        <v>1568</v>
      </c>
      <c r="D6" s="15">
        <f>C6-B6</f>
        <v>1556.3</v>
      </c>
      <c r="E6" s="15"/>
      <c r="F6" s="15">
        <v>625</v>
      </c>
      <c r="G6" s="15">
        <f>C6-F6</f>
        <v>943</v>
      </c>
      <c r="H6" s="15">
        <f>B6+D6-F6-G6</f>
        <v>0</v>
      </c>
      <c r="I6" s="15">
        <f>B6-F6</f>
        <v>-613.3</v>
      </c>
      <c r="J6" s="15"/>
    </row>
    <row r="7" ht="20.05" customHeight="1">
      <c r="A7" s="31"/>
      <c r="B7" s="14">
        <f>B8-('Cashflow'!C11+'Cashflow'!D11+'Cashflow'!I11)</f>
        <v>3662</v>
      </c>
      <c r="C7" s="15">
        <v>5604</v>
      </c>
      <c r="D7" s="15">
        <f>C7-B7</f>
        <v>1942</v>
      </c>
      <c r="E7" s="15"/>
      <c r="F7" s="15">
        <v>907</v>
      </c>
      <c r="G7" s="15">
        <f>C7-F7</f>
        <v>4697</v>
      </c>
      <c r="H7" s="15">
        <f>B7+D7-F7-G7</f>
        <v>0</v>
      </c>
      <c r="I7" s="15">
        <f>B7-F7</f>
        <v>2755</v>
      </c>
      <c r="J7" s="15"/>
    </row>
    <row r="8" ht="20.05" customHeight="1">
      <c r="A8" s="32">
        <v>2022</v>
      </c>
      <c r="B8" s="14">
        <v>3102</v>
      </c>
      <c r="C8" s="15">
        <v>6059</v>
      </c>
      <c r="D8" s="15">
        <f>C8-B8</f>
        <v>2957</v>
      </c>
      <c r="E8" s="15">
        <f>SUM('Sales'!D3:D11)</f>
        <v>163</v>
      </c>
      <c r="F8" s="15">
        <v>1092</v>
      </c>
      <c r="G8" s="15">
        <f>C8-F8</f>
        <v>4967</v>
      </c>
      <c r="H8" s="15">
        <f>B8+D8-F8-G8</f>
        <v>0</v>
      </c>
      <c r="I8" s="15">
        <f>B8-F8</f>
        <v>2010</v>
      </c>
      <c r="J8" s="15">
        <v>2922</v>
      </c>
    </row>
    <row r="9" ht="20.05" customHeight="1">
      <c r="A9" s="31"/>
      <c r="B9" s="14"/>
      <c r="C9" s="15"/>
      <c r="D9" s="15"/>
      <c r="E9" s="15"/>
      <c r="F9" s="15"/>
      <c r="G9" s="15"/>
      <c r="H9" s="15"/>
      <c r="I9" s="15"/>
      <c r="J9" s="15">
        <f>'Model'!E27</f>
        <v>2194.147695010850</v>
      </c>
    </row>
    <row r="10" ht="20.05" customHeight="1">
      <c r="A10" s="31"/>
      <c r="B10" s="14"/>
      <c r="C10" s="15"/>
      <c r="D10" s="15"/>
      <c r="E10" s="15"/>
      <c r="F10" s="15"/>
      <c r="G10" s="15"/>
      <c r="H10" s="15"/>
      <c r="I10" s="15"/>
      <c r="J10" s="15"/>
    </row>
    <row r="11" ht="20.05" customHeight="1">
      <c r="A11" s="31"/>
      <c r="B11" s="14"/>
      <c r="C11" s="15"/>
      <c r="D11" s="15"/>
      <c r="E11" s="15"/>
      <c r="F11" s="15"/>
      <c r="G11" s="15"/>
      <c r="H11" s="15"/>
      <c r="I11" s="15"/>
      <c r="J11" s="15"/>
    </row>
    <row r="12" ht="20.05" customHeight="1">
      <c r="A12" s="31"/>
      <c r="B12" s="14"/>
      <c r="C12" s="15"/>
      <c r="D12" s="15"/>
      <c r="E12" s="15"/>
      <c r="F12" s="15"/>
      <c r="G12" s="15"/>
      <c r="H12" s="15"/>
      <c r="I12" s="15"/>
      <c r="J12" s="15"/>
    </row>
    <row r="13" ht="20.05" customHeight="1">
      <c r="A13" s="31"/>
      <c r="B13" s="14"/>
      <c r="C13" s="15"/>
      <c r="D13" s="15"/>
      <c r="E13" s="15"/>
      <c r="F13" s="15"/>
      <c r="G13" s="15"/>
      <c r="H13" s="15"/>
      <c r="I13" s="15"/>
      <c r="J13" s="15"/>
    </row>
    <row r="14" ht="20.05" customHeight="1">
      <c r="A14" s="31"/>
      <c r="B14" s="14"/>
      <c r="C14" s="15"/>
      <c r="D14" s="15"/>
      <c r="E14" s="15"/>
      <c r="F14" s="15"/>
      <c r="G14" s="15"/>
      <c r="H14" s="15"/>
      <c r="I14" s="15"/>
      <c r="J14" s="15"/>
    </row>
  </sheetData>
  <mergeCells count="1">
    <mergeCell ref="A1:J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A2:C9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3" width="11.75" style="36" customWidth="1"/>
    <col min="4" max="16384" width="16.3516" style="36" customWidth="1"/>
  </cols>
  <sheetData>
    <row r="1" ht="27.65" customHeight="1">
      <c r="A1" t="s" s="2">
        <v>50</v>
      </c>
      <c r="B1" s="2"/>
      <c r="C1" s="2"/>
    </row>
    <row r="2" ht="20.25" customHeight="1">
      <c r="A2" s="34"/>
      <c r="B2" t="s" s="5">
        <v>51</v>
      </c>
      <c r="C2" t="s" s="5">
        <v>52</v>
      </c>
    </row>
    <row r="3" ht="20.25" customHeight="1">
      <c r="A3" s="27">
        <v>2021</v>
      </c>
      <c r="B3" s="28"/>
      <c r="C3" s="29"/>
    </row>
    <row r="4" ht="20.05" customHeight="1">
      <c r="A4" s="31"/>
      <c r="B4" s="14"/>
      <c r="C4" s="15"/>
    </row>
    <row r="5" ht="20.05" customHeight="1">
      <c r="A5" s="31"/>
      <c r="B5" s="14">
        <v>3410</v>
      </c>
      <c r="C5" s="15"/>
    </row>
    <row r="6" ht="20.05" customHeight="1">
      <c r="A6" s="31"/>
      <c r="B6" s="14">
        <v>3400</v>
      </c>
      <c r="C6" s="15"/>
    </row>
    <row r="7" ht="20.05" customHeight="1">
      <c r="A7" s="32">
        <v>2022</v>
      </c>
      <c r="B7" s="14">
        <v>3500</v>
      </c>
      <c r="C7" s="15"/>
    </row>
    <row r="8" ht="20.05" customHeight="1">
      <c r="A8" s="31"/>
      <c r="B8" s="14">
        <v>4090</v>
      </c>
      <c r="C8" s="15">
        <v>3864</v>
      </c>
    </row>
    <row r="9" ht="20.05" customHeight="1">
      <c r="A9" s="31"/>
      <c r="B9" s="14"/>
      <c r="C9" s="15">
        <f>'Model'!E40</f>
        <v>3877.703675838480</v>
      </c>
    </row>
  </sheetData>
  <mergeCells count="1">
    <mergeCell ref="A1:C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