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<sst xmlns="http://schemas.openxmlformats.org/spreadsheetml/2006/main" uniqueCount="58">
  <si>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</si>
  <si>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</si>
  <si>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</si>
  <si>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</si>
  <si>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</si>
  <si>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</si>
  <si>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</si>
  <si>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</si>
  <si>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</si>
  <si>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</si>
  <si>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</si>
  <si>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</si>
  <si>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</si>
  <si>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</si>
  <si>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</si>
  <si>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</si>
  <si>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</si>
  <si>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</si>
  <si>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</si>
  <si>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</si>
  <si>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</si>
  <si>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</si>
  <si>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</si>
  <si>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</si>
  <si>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</si>
  <si>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</si>
  <si>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</si>
  <si>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</si>
  <si>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</si>
  <si>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</si>
  <si>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</si>
  <si>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</si>
  <si>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</si>
  <si>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</si>
  <si>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</si>
  <si>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</si>
  <si>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</si>
  <si>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</si>
  <si>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</si>
  <si>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</si>
  <si>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</si>
  <si>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</si>
  <si>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</si>
  <si>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</si>
  <si>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</si>
  <si>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>Cost ratio</t>
  </si>
  <si>
    <t xml:space="preserve">Receipts </t>
  </si>
  <si>
    <t xml:space="preserve">Investment </t>
  </si>
  <si>
    <t>Liabilities</t>
  </si>
  <si>
    <t>Equity</t>
  </si>
  <si>
    <t>Lease &amp; consumer</t>
  </si>
  <si>
    <t xml:space="preserve">Free cashflow </t>
  </si>
  <si>
    <t>Capital</t>
  </si>
  <si>
    <t>Rp bn</t>
  </si>
  <si>
    <t>Cash</t>
  </si>
  <si>
    <t>Assets</t>
  </si>
  <si>
    <t>CLEO</t>
  </si>
  <si>
    <t>Previous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</si>
</sst>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419384</xdr:colOff>
      <xdr:row>1</xdr:row>
      <xdr:rowOff>179824</xdr:rowOff>
    </xdr:from>
    <xdr:to>
      <xdr:col>13</xdr:col>
      <xdr:colOff>489838</xdr:colOff>
      <xdr:row>50</xdr:row>
      <xdr:rowOff>51058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89784" y="447794"/>
          <a:ext cx="8782655" cy="124480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25781" style="1" customWidth="1"/>
    <col min="2" max="2" width="15.6172" style="1" customWidth="1"/>
    <col min="3" max="6" width="8.67969" style="1" customWidth="1"/>
    <col min="7" max="16384" width="16.3516" style="1" customWidth="1"/>
  </cols>
  <sheetData>
    <row r="1" ht="21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AVERAGE('Sales'!G25:G28)</f>
        <v>0.07291540097446431</v>
      </c>
      <c r="D4" s="8"/>
      <c r="E4" s="8"/>
      <c r="F4" s="9">
        <f>AVERAGE(C5:F5)</f>
        <v>0.0475</v>
      </c>
    </row>
    <row r="5" ht="20.05" customHeight="1">
      <c r="B5" t="s" s="10">
        <v>4</v>
      </c>
      <c r="C5" s="11">
        <v>0.05</v>
      </c>
      <c r="D5" s="12">
        <v>0.05</v>
      </c>
      <c r="E5" s="12">
        <v>0.1</v>
      </c>
      <c r="F5" s="12">
        <v>-0.01</v>
      </c>
    </row>
    <row r="6" ht="20.05" customHeight="1">
      <c r="B6" t="s" s="10">
        <v>5</v>
      </c>
      <c r="C6" s="13">
        <f>'Sales'!C28*(1+C5)</f>
        <v>323.085</v>
      </c>
      <c r="D6" s="14">
        <f>C6*(1+D5)</f>
        <v>339.23925</v>
      </c>
      <c r="E6" s="14">
        <f>D6*(1+E5)</f>
        <v>373.163175</v>
      </c>
      <c r="F6" s="14">
        <f>E6*(1+F5)</f>
        <v>369.43154325</v>
      </c>
    </row>
    <row r="7" ht="20.05" customHeight="1">
      <c r="B7" t="s" s="10">
        <v>6</v>
      </c>
      <c r="C7" s="11">
        <f>AVERAGE('Sales'!I27:I28)</f>
        <v>-0.760301883675033</v>
      </c>
      <c r="D7" s="12">
        <f>C7</f>
        <v>-0.760301883675033</v>
      </c>
      <c r="E7" s="12">
        <f>D7</f>
        <v>-0.760301883675033</v>
      </c>
      <c r="F7" s="12">
        <f>E7</f>
        <v>-0.760301883675033</v>
      </c>
    </row>
    <row r="8" ht="20.05" customHeight="1">
      <c r="B8" t="s" s="10">
        <v>7</v>
      </c>
      <c r="C8" s="15">
        <f>C7*C6</f>
        <v>-245.642134087148</v>
      </c>
      <c r="D8" s="16">
        <f>D7*D6</f>
        <v>-257.924240791505</v>
      </c>
      <c r="E8" s="16">
        <f>E7*E6</f>
        <v>-283.716664870656</v>
      </c>
      <c r="F8" s="16">
        <f>F7*F6</f>
        <v>-280.879498221949</v>
      </c>
    </row>
    <row r="9" ht="20.05" customHeight="1">
      <c r="B9" t="s" s="10">
        <v>8</v>
      </c>
      <c r="C9" s="15">
        <f>C6+C8</f>
        <v>77.442865912852</v>
      </c>
      <c r="D9" s="16">
        <f>D6+D8</f>
        <v>81.315009208495</v>
      </c>
      <c r="E9" s="16">
        <f>E6+E8</f>
        <v>89.44651012934401</v>
      </c>
      <c r="F9" s="16">
        <f>F6+F8</f>
        <v>88.552045028051</v>
      </c>
    </row>
    <row r="10" ht="20.05" customHeight="1">
      <c r="B10" t="s" s="10">
        <v>9</v>
      </c>
      <c r="C10" s="15">
        <f>AVERAGE('Cashflow '!E24:E28)</f>
        <v>-47.52</v>
      </c>
      <c r="D10" s="16">
        <f>C10</f>
        <v>-47.52</v>
      </c>
      <c r="E10" s="16">
        <f>D10</f>
        <v>-47.52</v>
      </c>
      <c r="F10" s="16">
        <f>E10</f>
        <v>-47.52</v>
      </c>
    </row>
    <row r="11" ht="20.05" customHeight="1">
      <c r="B11" t="s" s="10">
        <v>10</v>
      </c>
      <c r="C11" s="15">
        <f>'Cashflow '!I28</f>
        <v>-2</v>
      </c>
      <c r="D11" s="16">
        <f>C11</f>
        <v>-2</v>
      </c>
      <c r="E11" s="16">
        <f>D11</f>
        <v>-2</v>
      </c>
      <c r="F11" s="16">
        <f>E11</f>
        <v>-2</v>
      </c>
    </row>
    <row r="12" ht="20.05" customHeight="1">
      <c r="B12" t="s" s="10">
        <v>11</v>
      </c>
      <c r="C12" s="15">
        <f>C13+C16+C14</f>
        <v>-29.922865912852</v>
      </c>
      <c r="D12" s="16">
        <f>D13+D16+D14</f>
        <v>-33.795009208495</v>
      </c>
      <c r="E12" s="16">
        <f>E13+E16+E14</f>
        <v>-41.926510129344</v>
      </c>
      <c r="F12" s="16">
        <f>F13+F16+F14</f>
        <v>-41.032045028051</v>
      </c>
    </row>
    <row r="13" ht="20.05" customHeight="1">
      <c r="B13" t="s" s="10">
        <v>12</v>
      </c>
      <c r="C13" s="15">
        <f>-('Balance sheet'!G24)/20</f>
        <v>-19.3</v>
      </c>
      <c r="D13" s="16">
        <f>-C28/20</f>
        <v>-18.335</v>
      </c>
      <c r="E13" s="16">
        <f>-D28/20</f>
        <v>-17.41825</v>
      </c>
      <c r="F13" s="16">
        <f>-E28/20</f>
        <v>-16.5473375</v>
      </c>
    </row>
    <row r="14" ht="20.05" customHeight="1">
      <c r="B14" t="s" s="10">
        <v>13</v>
      </c>
      <c r="C14" s="15">
        <f>-MIN(0,C17)</f>
        <v>6.1599938610036</v>
      </c>
      <c r="D14" s="16">
        <f>-MIN(C29,D17)</f>
        <v>2.4844935540535</v>
      </c>
      <c r="E14" s="16">
        <f>-MIN(D29,E17)</f>
        <v>-4.1243070905408</v>
      </c>
      <c r="F14" s="16">
        <f>-MIN(E29,F17)</f>
        <v>-4.3690940196357</v>
      </c>
    </row>
    <row r="15" ht="20.05" customHeight="1">
      <c r="B15" t="s" s="10">
        <v>14</v>
      </c>
      <c r="C15" s="17">
        <v>0.3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-16.7828597738556</v>
      </c>
      <c r="D16" s="16">
        <f>IF(D23&gt;0,-D23*$C$15,0)</f>
        <v>-17.9445027625485</v>
      </c>
      <c r="E16" s="16">
        <f>IF(E23&gt;0,-E23*$C$15,0)</f>
        <v>-20.3839530388032</v>
      </c>
      <c r="F16" s="16">
        <f>IF(F23&gt;0,-F23*$C$15,0)</f>
        <v>-20.1156135084153</v>
      </c>
    </row>
    <row r="17" ht="20.05" customHeight="1">
      <c r="B17" t="s" s="10">
        <v>16</v>
      </c>
      <c r="C17" s="15">
        <f>C9+C10+C13+C16</f>
        <v>-6.1599938610036</v>
      </c>
      <c r="D17" s="16">
        <f>D9+D10+D13+D16</f>
        <v>-2.4844935540535</v>
      </c>
      <c r="E17" s="16">
        <f>E9+E10+E13+E16</f>
        <v>4.1243070905408</v>
      </c>
      <c r="F17" s="16">
        <f>F9+F10+F13+F16</f>
        <v>4.3690940196357</v>
      </c>
    </row>
    <row r="18" ht="20.05" customHeight="1">
      <c r="B18" t="s" s="10">
        <v>17</v>
      </c>
      <c r="C18" s="15">
        <f>'Balance sheet'!C24</f>
        <v>23</v>
      </c>
      <c r="D18" s="16">
        <f>C20</f>
        <v>23</v>
      </c>
      <c r="E18" s="16">
        <f>D20</f>
        <v>23</v>
      </c>
      <c r="F18" s="16">
        <f>E20</f>
        <v>23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0</v>
      </c>
    </row>
    <row r="20" ht="20.05" customHeight="1">
      <c r="B20" t="s" s="10">
        <v>19</v>
      </c>
      <c r="C20" s="15">
        <f>C18+C19</f>
        <v>23</v>
      </c>
      <c r="D20" s="16">
        <f>D18+D19</f>
        <v>23</v>
      </c>
      <c r="E20" s="16">
        <f>E18+E19</f>
        <v>23</v>
      </c>
      <c r="F20" s="16">
        <f>F18+F19</f>
        <v>23</v>
      </c>
    </row>
    <row r="21" ht="20.05" customHeight="1">
      <c r="B21" t="s" s="18">
        <v>20</v>
      </c>
      <c r="C21" s="19"/>
      <c r="D21" s="20"/>
      <c r="E21" s="20"/>
      <c r="F21" s="21"/>
    </row>
    <row r="22" ht="20.05" customHeight="1">
      <c r="B22" t="s" s="10">
        <v>21</v>
      </c>
      <c r="C22" s="15">
        <f>-AVERAGE('Sales'!E28)</f>
        <v>-21.5</v>
      </c>
      <c r="D22" s="16">
        <f>C22</f>
        <v>-21.5</v>
      </c>
      <c r="E22" s="16">
        <f>D22</f>
        <v>-21.5</v>
      </c>
      <c r="F22" s="16">
        <f>E22</f>
        <v>-21.5</v>
      </c>
    </row>
    <row r="23" ht="20.05" customHeight="1">
      <c r="B23" t="s" s="10">
        <v>20</v>
      </c>
      <c r="C23" s="15">
        <f>C6+C8+C22</f>
        <v>55.942865912852</v>
      </c>
      <c r="D23" s="16">
        <f>D6+D8+D22</f>
        <v>59.815009208495</v>
      </c>
      <c r="E23" s="16">
        <f>E6+E8+E22</f>
        <v>67.94651012934401</v>
      </c>
      <c r="F23" s="16">
        <f>F6+F8+F22</f>
        <v>67.052045028051</v>
      </c>
    </row>
    <row r="24" ht="20.05" customHeight="1">
      <c r="B24" t="s" s="18">
        <v>22</v>
      </c>
      <c r="C24" s="19"/>
      <c r="D24" s="20"/>
      <c r="E24" s="20"/>
      <c r="F24" s="20"/>
    </row>
    <row r="25" ht="20.05" customHeight="1">
      <c r="B25" t="s" s="10">
        <v>23</v>
      </c>
      <c r="C25" s="15">
        <f>'Balance sheet'!E24+'Balance sheet'!F24-C10</f>
        <v>1924.52</v>
      </c>
      <c r="D25" s="16">
        <f>C25-D10</f>
        <v>1972.04</v>
      </c>
      <c r="E25" s="16">
        <f>D25-E10</f>
        <v>2019.56</v>
      </c>
      <c r="F25" s="16">
        <f>E25-F10</f>
        <v>2067.08</v>
      </c>
    </row>
    <row r="26" ht="20.05" customHeight="1">
      <c r="B26" t="s" s="10">
        <v>24</v>
      </c>
      <c r="C26" s="15">
        <f>'Balance sheet'!F24-C22</f>
        <v>488.5</v>
      </c>
      <c r="D26" s="16">
        <f>C26-D22</f>
        <v>510</v>
      </c>
      <c r="E26" s="16">
        <f>D26-E22</f>
        <v>531.5</v>
      </c>
      <c r="F26" s="16">
        <f>E26-F22</f>
        <v>553</v>
      </c>
    </row>
    <row r="27" ht="20.05" customHeight="1">
      <c r="B27" t="s" s="10">
        <v>25</v>
      </c>
      <c r="C27" s="15">
        <f>C25-C26</f>
        <v>1436.02</v>
      </c>
      <c r="D27" s="16">
        <f>D25-D26</f>
        <v>1462.04</v>
      </c>
      <c r="E27" s="16">
        <f>E25-E26</f>
        <v>1488.06</v>
      </c>
      <c r="F27" s="16">
        <f>F25-F26</f>
        <v>1514.08</v>
      </c>
    </row>
    <row r="28" ht="20.05" customHeight="1">
      <c r="B28" t="s" s="10">
        <v>12</v>
      </c>
      <c r="C28" s="15">
        <f>'Balance sheet'!G24+C13</f>
        <v>366.7</v>
      </c>
      <c r="D28" s="16">
        <f>C28+D13</f>
        <v>348.365</v>
      </c>
      <c r="E28" s="16">
        <f>D28+E13</f>
        <v>330.94675</v>
      </c>
      <c r="F28" s="16">
        <f>E28+F13</f>
        <v>314.3994125</v>
      </c>
    </row>
    <row r="29" ht="20.05" customHeight="1">
      <c r="B29" t="s" s="10">
        <v>13</v>
      </c>
      <c r="C29" s="15">
        <f>C14</f>
        <v>6.1599938610036</v>
      </c>
      <c r="D29" s="16">
        <f>C29+D14</f>
        <v>8.6444874150571</v>
      </c>
      <c r="E29" s="16">
        <f>D29+E14</f>
        <v>4.5201803245163</v>
      </c>
      <c r="F29" s="16">
        <f>E29+F14</f>
        <v>0.1510863048806</v>
      </c>
    </row>
    <row r="30" ht="20.05" customHeight="1">
      <c r="B30" t="s" s="10">
        <v>15</v>
      </c>
      <c r="C30" s="15">
        <f>'Balance sheet'!H24+C23+C16</f>
        <v>1086.160006139</v>
      </c>
      <c r="D30" s="16">
        <f>C30+D23+D16</f>
        <v>1128.030512584950</v>
      </c>
      <c r="E30" s="16">
        <f>D30+E23+E16</f>
        <v>1175.593069675490</v>
      </c>
      <c r="F30" s="16">
        <f>E30+F23+F16</f>
        <v>1222.529501195130</v>
      </c>
    </row>
    <row r="31" ht="20.05" customHeight="1">
      <c r="B31" t="s" s="10">
        <v>26</v>
      </c>
      <c r="C31" s="15">
        <f>C28+C29+C30-C20-C27</f>
        <v>3.6e-12</v>
      </c>
      <c r="D31" s="16">
        <f>D28+D29+D30-D20-D27</f>
        <v>7.1e-12</v>
      </c>
      <c r="E31" s="16">
        <f>E28+E29+E30-E20-E27</f>
        <v>6.3e-12</v>
      </c>
      <c r="F31" s="16">
        <f>F28+F29+F30-F20-F27</f>
        <v>1.06e-11</v>
      </c>
    </row>
    <row r="32" ht="20.05" customHeight="1">
      <c r="B32" t="s" s="10">
        <v>27</v>
      </c>
      <c r="C32" s="15">
        <f>C20-C28-C29</f>
        <v>-349.859993861004</v>
      </c>
      <c r="D32" s="16">
        <f>D20-D28-D29</f>
        <v>-334.009487415057</v>
      </c>
      <c r="E32" s="16">
        <f>E20-E28-E29</f>
        <v>-312.466930324516</v>
      </c>
      <c r="F32" s="16">
        <f>F20-F28-F29</f>
        <v>-291.550498804881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'!M28-(C12-C11)</f>
        <v>-206.074134087148</v>
      </c>
      <c r="D34" s="16">
        <f>C34-(D13-D11)</f>
        <v>-189.739134087148</v>
      </c>
      <c r="E34" s="16">
        <f>D34-(E13-E11)</f>
        <v>-174.320884087148</v>
      </c>
      <c r="F34" s="16">
        <f>E34-(F13-F11)</f>
        <v>-159.773546587148</v>
      </c>
    </row>
    <row r="35" ht="20.05" customHeight="1">
      <c r="B35" t="s" s="10">
        <v>30</v>
      </c>
      <c r="C35" s="15"/>
      <c r="D35" s="16"/>
      <c r="E35" s="16"/>
      <c r="F35" s="16">
        <v>5118880120832</v>
      </c>
    </row>
    <row r="36" ht="20.05" customHeight="1">
      <c r="B36" t="s" s="10">
        <v>30</v>
      </c>
      <c r="C36" s="15"/>
      <c r="D36" s="16"/>
      <c r="E36" s="16"/>
      <c r="F36" s="16">
        <f>F35/1000000000</f>
        <v>5118.880120832</v>
      </c>
    </row>
    <row r="37" ht="20.05" customHeight="1">
      <c r="B37" t="s" s="10">
        <v>31</v>
      </c>
      <c r="C37" s="15"/>
      <c r="D37" s="16"/>
      <c r="E37" s="16"/>
      <c r="F37" s="22">
        <f>F36/(F20+F27)</f>
        <v>3.33026265440446</v>
      </c>
    </row>
    <row r="38" ht="20.05" customHeight="1">
      <c r="B38" t="s" s="10">
        <v>32</v>
      </c>
      <c r="C38" s="15"/>
      <c r="D38" s="16"/>
      <c r="E38" s="16"/>
      <c r="F38" s="23">
        <f>-(C16+D16+F16+E16)/F36</f>
        <v>0.0146959739841291</v>
      </c>
    </row>
    <row r="39" ht="20.05" customHeight="1">
      <c r="B39" t="s" s="10">
        <v>33</v>
      </c>
      <c r="C39" s="15"/>
      <c r="D39" s="16"/>
      <c r="E39" s="16"/>
      <c r="F39" s="16">
        <f>SUM(C9:F11)</f>
        <v>138.676430278742</v>
      </c>
    </row>
    <row r="40" ht="20.05" customHeight="1">
      <c r="B40" t="s" s="10">
        <v>34</v>
      </c>
      <c r="C40" s="15"/>
      <c r="D40" s="16"/>
      <c r="E40" s="16"/>
      <c r="F40" s="16">
        <f>'Balance sheet'!E24/F39</f>
        <v>10.1675533265882</v>
      </c>
    </row>
    <row r="41" ht="20.05" customHeight="1">
      <c r="B41" t="s" s="10">
        <v>28</v>
      </c>
      <c r="C41" s="15"/>
      <c r="D41" s="16"/>
      <c r="E41" s="16"/>
      <c r="F41" s="16">
        <f>F36/F39</f>
        <v>36.9124018446607</v>
      </c>
    </row>
    <row r="42" ht="20.05" customHeight="1">
      <c r="B42" t="s" s="10">
        <v>35</v>
      </c>
      <c r="C42" s="15"/>
      <c r="D42" s="16"/>
      <c r="E42" s="16"/>
      <c r="F42" s="16">
        <v>32</v>
      </c>
    </row>
    <row r="43" ht="20.05" customHeight="1">
      <c r="B43" t="s" s="10">
        <v>36</v>
      </c>
      <c r="C43" s="15"/>
      <c r="D43" s="16"/>
      <c r="E43" s="16"/>
      <c r="F43" s="16">
        <f>F39*F42</f>
        <v>4437.645768919740</v>
      </c>
    </row>
    <row r="44" ht="20.05" customHeight="1">
      <c r="B44" t="s" s="10">
        <v>37</v>
      </c>
      <c r="C44" s="15"/>
      <c r="D44" s="16"/>
      <c r="E44" s="16"/>
      <c r="F44" s="16">
        <f>F36/F46</f>
        <v>11.9600002823178</v>
      </c>
    </row>
    <row r="45" ht="20.05" customHeight="1">
      <c r="B45" t="s" s="10">
        <v>38</v>
      </c>
      <c r="C45" s="15"/>
      <c r="D45" s="16"/>
      <c r="E45" s="16"/>
      <c r="F45" s="16">
        <f>F43/F44</f>
        <v>371.040607371937</v>
      </c>
    </row>
    <row r="46" ht="20.05" customHeight="1">
      <c r="B46" t="s" s="10">
        <v>39</v>
      </c>
      <c r="C46" s="15"/>
      <c r="D46" s="16"/>
      <c r="E46" s="16"/>
      <c r="F46" s="16">
        <v>428</v>
      </c>
    </row>
    <row r="47" ht="20.05" customHeight="1">
      <c r="B47" t="s" s="10">
        <v>40</v>
      </c>
      <c r="C47" s="15"/>
      <c r="D47" s="16"/>
      <c r="E47" s="16"/>
      <c r="F47" s="24">
        <f>F45/F46-1</f>
        <v>-0.133082693056222</v>
      </c>
    </row>
    <row r="48" ht="20.05" customHeight="1">
      <c r="B48" t="s" s="10">
        <v>41</v>
      </c>
      <c r="C48" s="15"/>
      <c r="D48" s="16"/>
      <c r="E48" s="16"/>
      <c r="F48" s="24">
        <f>'Sales'!C28/'Sales'!C24-1</f>
        <v>0.29831223628692</v>
      </c>
    </row>
    <row r="49" ht="20.05" customHeight="1">
      <c r="B49" t="s" s="10">
        <v>42</v>
      </c>
      <c r="C49" s="15"/>
      <c r="D49" s="16"/>
      <c r="E49" s="16"/>
      <c r="F49" s="24">
        <f>'Sales'!F31/'Sales'!E31-1</f>
        <v>0.0324073582170108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5" customWidth="1"/>
    <col min="2" max="2" width="6.05469" style="25" customWidth="1"/>
    <col min="3" max="10" width="9.46094" style="25" customWidth="1"/>
    <col min="11" max="16384" width="16.3516" style="25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6">
        <v>2016</v>
      </c>
      <c r="C4" s="27">
        <v>126.703</v>
      </c>
      <c r="D4" s="8"/>
      <c r="E4" s="28">
        <v>8</v>
      </c>
      <c r="F4" s="28">
        <v>8.3775</v>
      </c>
      <c r="G4" s="9"/>
      <c r="H4" s="29">
        <f>(E4+F4-C4)/C4</f>
        <v>-0.870741024285139</v>
      </c>
      <c r="I4" s="9"/>
      <c r="J4" s="9"/>
    </row>
    <row r="5" ht="20.05" customHeight="1">
      <c r="B5" s="30"/>
      <c r="C5" s="13">
        <v>126.703</v>
      </c>
      <c r="D5" s="21"/>
      <c r="E5" s="14">
        <f>15.9-E4</f>
        <v>7.9</v>
      </c>
      <c r="F5" s="14">
        <v>8.3775</v>
      </c>
      <c r="G5" s="24">
        <f>C5/C4-1</f>
        <v>0</v>
      </c>
      <c r="H5" s="24">
        <f>(E5+F5-C5)/C5</f>
        <v>-0.871530271579994</v>
      </c>
      <c r="I5" s="12"/>
      <c r="J5" s="12"/>
    </row>
    <row r="6" ht="20.05" customHeight="1">
      <c r="B6" s="30"/>
      <c r="C6" s="13">
        <v>137.815</v>
      </c>
      <c r="D6" s="21"/>
      <c r="E6" s="14">
        <f>32.8-SUM(E4:E5)</f>
        <v>16.9</v>
      </c>
      <c r="F6" s="14">
        <v>10.485</v>
      </c>
      <c r="G6" s="24">
        <f>C6/C5-1</f>
        <v>0.0877011594042761</v>
      </c>
      <c r="H6" s="24">
        <f>(E6+F6-C6)/C6</f>
        <v>-0.801291586547183</v>
      </c>
      <c r="I6" s="12"/>
      <c r="J6" s="12"/>
    </row>
    <row r="7" ht="20.05" customHeight="1">
      <c r="B7" s="30"/>
      <c r="C7" s="13">
        <v>132.711</v>
      </c>
      <c r="D7" s="21"/>
      <c r="E7" s="14">
        <f>49.2-SUM(E4:E6)</f>
        <v>16.4</v>
      </c>
      <c r="F7" s="14">
        <v>12.022</v>
      </c>
      <c r="G7" s="24">
        <f>C7/C6-1</f>
        <v>-0.0370351558248376</v>
      </c>
      <c r="H7" s="24">
        <f>(E7+F7-C7)/C7</f>
        <v>-0.785835386667269</v>
      </c>
      <c r="I7" s="12"/>
      <c r="J7" s="12"/>
    </row>
    <row r="8" ht="20.05" customHeight="1">
      <c r="B8" s="31">
        <v>2017</v>
      </c>
      <c r="C8" s="13">
        <v>138.972</v>
      </c>
      <c r="D8" s="21"/>
      <c r="E8" s="14">
        <v>11.9</v>
      </c>
      <c r="F8" s="14">
        <v>8.69</v>
      </c>
      <c r="G8" s="24">
        <f>C8/C7-1</f>
        <v>0.047177701923729</v>
      </c>
      <c r="H8" s="24">
        <f>(E8+F8-C8)/C8</f>
        <v>-0.851840658549924</v>
      </c>
      <c r="I8" s="12"/>
      <c r="J8" s="12"/>
    </row>
    <row r="9" ht="20.05" customHeight="1">
      <c r="B9" s="30"/>
      <c r="C9" s="13">
        <v>146.397</v>
      </c>
      <c r="D9" s="21"/>
      <c r="E9" s="14">
        <f>24.3-E8</f>
        <v>12.4</v>
      </c>
      <c r="F9" s="14">
        <v>8.587999999999999</v>
      </c>
      <c r="G9" s="24">
        <f>C9/C8-1</f>
        <v>0.0534280286676453</v>
      </c>
      <c r="H9" s="24">
        <f>(E9+F9-C9)/C9</f>
        <v>-0.856636406483739</v>
      </c>
      <c r="I9" s="12"/>
      <c r="J9" s="12"/>
    </row>
    <row r="10" ht="20.05" customHeight="1">
      <c r="B10" s="30"/>
      <c r="C10" s="13">
        <v>155.403</v>
      </c>
      <c r="D10" s="21"/>
      <c r="E10" s="14">
        <f>38.3-SUM(E8:E9)</f>
        <v>14</v>
      </c>
      <c r="F10" s="14">
        <v>20.861</v>
      </c>
      <c r="G10" s="24">
        <f>C10/C9-1</f>
        <v>0.0615176540502879</v>
      </c>
      <c r="H10" s="24">
        <f>(E10+F10-C10)/C10</f>
        <v>-0.775673571295277</v>
      </c>
      <c r="I10" s="12"/>
      <c r="J10" s="12"/>
    </row>
    <row r="11" ht="20.05" customHeight="1">
      <c r="B11" s="30"/>
      <c r="C11" s="13">
        <v>173.905</v>
      </c>
      <c r="D11" s="21"/>
      <c r="E11" s="14">
        <f>48.6-SUM(E8:E10)</f>
        <v>10.3</v>
      </c>
      <c r="F11" s="14">
        <v>12.034</v>
      </c>
      <c r="G11" s="24">
        <f>C11/C10-1</f>
        <v>0.11905819063982</v>
      </c>
      <c r="H11" s="24">
        <f>(E11+F11-C11)/C11</f>
        <v>-0.871573560277163</v>
      </c>
      <c r="I11" s="12"/>
      <c r="J11" s="12"/>
    </row>
    <row r="12" ht="20.05" customHeight="1">
      <c r="B12" s="31">
        <v>2018</v>
      </c>
      <c r="C12" s="13">
        <v>162.59</v>
      </c>
      <c r="D12" s="21"/>
      <c r="E12" s="14">
        <v>12.8</v>
      </c>
      <c r="F12" s="14">
        <v>12.563</v>
      </c>
      <c r="G12" s="24">
        <f>C12/C11-1</f>
        <v>-0.065064259221989</v>
      </c>
      <c r="H12" s="24">
        <f>(E12+F12-C12)/C12</f>
        <v>-0.844006396457347</v>
      </c>
      <c r="I12" s="12">
        <f>AVERAGE(H9:H12)</f>
        <v>-0.8369724836283819</v>
      </c>
      <c r="J12" s="12"/>
    </row>
    <row r="13" ht="20.05" customHeight="1">
      <c r="B13" s="30"/>
      <c r="C13" s="13">
        <v>199.624</v>
      </c>
      <c r="D13" s="21"/>
      <c r="E13" s="14">
        <f>28.4-E12</f>
        <v>15.6</v>
      </c>
      <c r="F13" s="14">
        <v>15.17</v>
      </c>
      <c r="G13" s="24">
        <f>C13/C12-1</f>
        <v>0.227775385940095</v>
      </c>
      <c r="H13" s="24">
        <f>(E13+F13-C13)/C13</f>
        <v>-0.845860217208352</v>
      </c>
      <c r="I13" s="12">
        <f>AVERAGE(H10:H13)</f>
        <v>-0.834278436309535</v>
      </c>
      <c r="J13" s="12"/>
    </row>
    <row r="14" ht="20.05" customHeight="1">
      <c r="B14" s="30"/>
      <c r="C14" s="13">
        <v>231.55</v>
      </c>
      <c r="D14" s="21"/>
      <c r="E14" s="14">
        <f>45.9-SUM(E12:E13)</f>
        <v>17.5</v>
      </c>
      <c r="F14" s="14">
        <v>19.107</v>
      </c>
      <c r="G14" s="24">
        <f>C14/C13-1</f>
        <v>0.159930669658959</v>
      </c>
      <c r="H14" s="24">
        <f>(E14+F14-C14)/C14</f>
        <v>-0.84190455625135</v>
      </c>
      <c r="I14" s="12">
        <f>AVERAGE(H11:H14)</f>
        <v>-0.850836182548553</v>
      </c>
      <c r="J14" s="12"/>
    </row>
    <row r="15" ht="20.05" customHeight="1">
      <c r="B15" s="30"/>
      <c r="C15" s="13">
        <v>237.34</v>
      </c>
      <c r="D15" s="21"/>
      <c r="E15" s="14">
        <f>60.4-SUM(E12:E14)</f>
        <v>14.5</v>
      </c>
      <c r="F15" s="14">
        <v>16.421</v>
      </c>
      <c r="G15" s="24">
        <f>C15/C14-1</f>
        <v>0.025005398402073</v>
      </c>
      <c r="H15" s="24">
        <f>(E15+F15-C15)/C15</f>
        <v>-0.869718547231819</v>
      </c>
      <c r="I15" s="12">
        <f>AVERAGE(H12:H15)</f>
        <v>-0.850372429287217</v>
      </c>
      <c r="J15" s="12"/>
    </row>
    <row r="16" ht="20.05" customHeight="1">
      <c r="B16" s="31">
        <v>2019</v>
      </c>
      <c r="C16" s="13">
        <v>223.5</v>
      </c>
      <c r="D16" s="21"/>
      <c r="E16" s="14">
        <v>12.8</v>
      </c>
      <c r="F16" s="14">
        <v>25.287</v>
      </c>
      <c r="G16" s="24">
        <f>C16/C15-1</f>
        <v>-0.0583129687368332</v>
      </c>
      <c r="H16" s="24">
        <f>(E16+F16-C16)/C16</f>
        <v>-0.82958836689038</v>
      </c>
      <c r="I16" s="12">
        <f>AVERAGE(H13:H16)</f>
        <v>-0.846767921895475</v>
      </c>
      <c r="J16" s="12"/>
    </row>
    <row r="17" ht="20.05" customHeight="1">
      <c r="B17" s="30"/>
      <c r="C17" s="13">
        <v>268.483</v>
      </c>
      <c r="D17" s="21"/>
      <c r="E17" s="14">
        <f>26-E16</f>
        <v>13.2</v>
      </c>
      <c r="F17" s="14">
        <v>38.651</v>
      </c>
      <c r="G17" s="24">
        <f>C17/C16-1</f>
        <v>0.201266219239374</v>
      </c>
      <c r="H17" s="24">
        <f>(E17+F17-C17)/C17</f>
        <v>-0.806874178253372</v>
      </c>
      <c r="I17" s="12">
        <f>AVERAGE(H14:H17)</f>
        <v>-0.83702141215673</v>
      </c>
      <c r="J17" s="12"/>
    </row>
    <row r="18" ht="20.05" customHeight="1">
      <c r="B18" s="30"/>
      <c r="C18" s="13">
        <v>283.711</v>
      </c>
      <c r="D18" s="21"/>
      <c r="E18" s="14">
        <f>40.1-SUM(E16:E17)</f>
        <v>14.1</v>
      </c>
      <c r="F18" s="14">
        <v>30.082</v>
      </c>
      <c r="G18" s="24">
        <f>C18/C17-1</f>
        <v>0.0567186749254143</v>
      </c>
      <c r="H18" s="24">
        <f>(E18+F18-C18)/C18</f>
        <v>-0.844271106865789</v>
      </c>
      <c r="I18" s="12">
        <f>AVERAGE(H15:H18)</f>
        <v>-0.83761304981034</v>
      </c>
      <c r="J18" s="12"/>
    </row>
    <row r="19" ht="20.05" customHeight="1">
      <c r="B19" s="30"/>
      <c r="C19" s="13">
        <v>312.985</v>
      </c>
      <c r="D19" s="21"/>
      <c r="E19" s="14">
        <f>56.9-SUM(E16:E18)</f>
        <v>16.8</v>
      </c>
      <c r="F19" s="14">
        <v>36.736</v>
      </c>
      <c r="G19" s="24">
        <f>C19/C18-1</f>
        <v>0.103182463845251</v>
      </c>
      <c r="H19" s="24">
        <f>(E19+F19-C19)/C19</f>
        <v>-0.828950269182229</v>
      </c>
      <c r="I19" s="12">
        <f>AVERAGE(H16:H19)</f>
        <v>-0.827420980297943</v>
      </c>
      <c r="J19" s="12"/>
    </row>
    <row r="20" ht="20.05" customHeight="1">
      <c r="B20" s="31">
        <v>2020</v>
      </c>
      <c r="C20" s="13">
        <v>271.527</v>
      </c>
      <c r="D20" s="21"/>
      <c r="E20" s="14">
        <v>18.5</v>
      </c>
      <c r="F20" s="14">
        <v>35.458</v>
      </c>
      <c r="G20" s="24">
        <f>C20/C19-1</f>
        <v>-0.132460022045785</v>
      </c>
      <c r="H20" s="24">
        <f>(E20+F20-C20)/C20</f>
        <v>-0.80127943077484</v>
      </c>
      <c r="I20" s="12">
        <f>AVERAGE(H17:H20)</f>
        <v>-0.820343746269058</v>
      </c>
      <c r="J20" s="12"/>
    </row>
    <row r="21" ht="20.05" customHeight="1">
      <c r="B21" s="30"/>
      <c r="C21" s="13">
        <v>222.413</v>
      </c>
      <c r="D21" s="21"/>
      <c r="E21" s="14">
        <f>38.3-E20</f>
        <v>19.8</v>
      </c>
      <c r="F21" s="14">
        <v>29.244</v>
      </c>
      <c r="G21" s="24">
        <f>C21/C20-1</f>
        <v>-0.18088072272739</v>
      </c>
      <c r="H21" s="24">
        <f>(E21+F21-C21)/C21</f>
        <v>-0.779491306713187</v>
      </c>
      <c r="I21" s="12">
        <f>AVERAGE(H18:H21)</f>
        <v>-0.813498028384011</v>
      </c>
      <c r="J21" s="12"/>
    </row>
    <row r="22" ht="20.05" customHeight="1">
      <c r="B22" s="30"/>
      <c r="C22" s="13">
        <f>719.793-SUM(C20:C21)</f>
        <v>225.853</v>
      </c>
      <c r="D22" s="14">
        <v>255.77495</v>
      </c>
      <c r="E22" s="14">
        <f>59.485-SUM(E20:E21)</f>
        <v>21.185</v>
      </c>
      <c r="F22" s="14">
        <f>94.281-SUM(F20:F21)</f>
        <v>29.579</v>
      </c>
      <c r="G22" s="24">
        <f>C22/C21-1</f>
        <v>0.0154667218193181</v>
      </c>
      <c r="H22" s="24">
        <f>(E22+F22-C22)/C22</f>
        <v>-0.775234333836611</v>
      </c>
      <c r="I22" s="12">
        <f>AVERAGE(H19:H22)</f>
        <v>-0.796238835126717</v>
      </c>
      <c r="J22" s="12"/>
    </row>
    <row r="23" ht="20.05" customHeight="1">
      <c r="B23" s="30"/>
      <c r="C23" s="13">
        <f>972.6-SUM(C20:C22)</f>
        <v>252.807</v>
      </c>
      <c r="D23" s="14">
        <v>260.39121</v>
      </c>
      <c r="E23" s="14">
        <f>81-SUM(E20:E22)</f>
        <v>21.515</v>
      </c>
      <c r="F23" s="14">
        <f>132.8-SUM(F20:F22)</f>
        <v>38.519</v>
      </c>
      <c r="G23" s="24">
        <f>C23/C22-1</f>
        <v>0.119343112555512</v>
      </c>
      <c r="H23" s="24">
        <f>(E23+F23-C23)/C23</f>
        <v>-0.762530309682881</v>
      </c>
      <c r="I23" s="12">
        <f>AVERAGE(H20:H23)</f>
        <v>-0.77963384525188</v>
      </c>
      <c r="J23" s="12"/>
    </row>
    <row r="24" ht="20.05" customHeight="1">
      <c r="B24" s="31">
        <v>2021</v>
      </c>
      <c r="C24" s="19">
        <v>237</v>
      </c>
      <c r="D24" s="14">
        <v>260.39121</v>
      </c>
      <c r="E24" s="20">
        <v>22</v>
      </c>
      <c r="F24" s="14">
        <v>42</v>
      </c>
      <c r="G24" s="24">
        <f>C24/C23-1</f>
        <v>-0.0625259585375405</v>
      </c>
      <c r="H24" s="24">
        <f>(E24+F24-C24)/C24</f>
        <v>-0.729957805907173</v>
      </c>
      <c r="I24" s="12">
        <f>AVERAGE(H21:H24)</f>
        <v>-0.7618034390349629</v>
      </c>
      <c r="J24" s="12"/>
    </row>
    <row r="25" ht="20.05" customHeight="1">
      <c r="B25" s="30"/>
      <c r="C25" s="13">
        <f>529.3-C24</f>
        <v>292.3</v>
      </c>
      <c r="D25" s="14">
        <v>284.4</v>
      </c>
      <c r="E25" s="14">
        <f>44.1+0.3-E24</f>
        <v>22.4</v>
      </c>
      <c r="F25" s="14">
        <f>91.8-F24</f>
        <v>49.8</v>
      </c>
      <c r="G25" s="24">
        <f>C25/C24-1</f>
        <v>0.233333333333333</v>
      </c>
      <c r="H25" s="24">
        <f>(E25+F25-C25)/C25</f>
        <v>-0.752993499828943</v>
      </c>
      <c r="I25" s="12">
        <f>AVERAGE(H22:H25)</f>
        <v>-0.755178987313902</v>
      </c>
      <c r="J25" s="12"/>
    </row>
    <row r="26" ht="20.05" customHeight="1">
      <c r="B26" s="30"/>
      <c r="C26" s="13">
        <f>802.9-SUM(C24:C25)</f>
        <v>273.6</v>
      </c>
      <c r="D26" s="14">
        <v>298.146</v>
      </c>
      <c r="E26" s="14">
        <f>66.5-SUM(E24:E25)</f>
        <v>22.1</v>
      </c>
      <c r="F26" s="14">
        <f>136.6-SUM(F24:F25)</f>
        <v>44.8</v>
      </c>
      <c r="G26" s="24">
        <f>C26/C25-1</f>
        <v>-0.06397536777283611</v>
      </c>
      <c r="H26" s="24">
        <f>(E26+F26-C26)/C26</f>
        <v>-0.755482456140351</v>
      </c>
      <c r="I26" s="12">
        <f>AVERAGE(H23:H26)</f>
        <v>-0.750241017889837</v>
      </c>
      <c r="J26" s="12"/>
    </row>
    <row r="27" ht="20.05" customHeight="1">
      <c r="B27" s="30"/>
      <c r="C27" s="13">
        <f>1103.5-SUM(C24:C26)</f>
        <v>300.6</v>
      </c>
      <c r="D27" s="14">
        <v>306.432</v>
      </c>
      <c r="E27" s="14">
        <f>89.4-SUM(E24:E26)</f>
        <v>22.9</v>
      </c>
      <c r="F27" s="14">
        <f>180.7-SUM(F24:F26)</f>
        <v>44.1</v>
      </c>
      <c r="G27" s="24">
        <f>C27/C26-1</f>
        <v>0.0986842105263158</v>
      </c>
      <c r="H27" s="24">
        <f>(E27+F27-C27)/C27</f>
        <v>-0.7771124417831</v>
      </c>
      <c r="I27" s="12">
        <f>AVERAGE(H24:H27)</f>
        <v>-0.753886550914892</v>
      </c>
      <c r="J27" s="12"/>
    </row>
    <row r="28" ht="20.05" customHeight="1">
      <c r="B28" s="31">
        <v>2022</v>
      </c>
      <c r="C28" s="13">
        <v>307.7</v>
      </c>
      <c r="D28" s="14">
        <v>285.57</v>
      </c>
      <c r="E28" s="14">
        <v>21.5</v>
      </c>
      <c r="F28" s="14">
        <v>45.8</v>
      </c>
      <c r="G28" s="24">
        <f>C28/C27-1</f>
        <v>0.0236194278110446</v>
      </c>
      <c r="H28" s="24">
        <f>(E28+F28-C28)/C28</f>
        <v>-0.7812804679883</v>
      </c>
      <c r="I28" s="12">
        <f>AVERAGE(H25:H28)</f>
        <v>-0.766717216435174</v>
      </c>
      <c r="J28" s="12">
        <v>-0.755482456140351</v>
      </c>
    </row>
    <row r="29" ht="20.05" customHeight="1">
      <c r="B29" s="30"/>
      <c r="C29" s="13"/>
      <c r="D29" s="14">
        <f>'Model'!C6</f>
        <v>323.085</v>
      </c>
      <c r="E29" s="14"/>
      <c r="F29" s="14"/>
      <c r="G29" s="12"/>
      <c r="H29" s="21"/>
      <c r="I29" s="12"/>
      <c r="J29" s="12">
        <f>'Model'!C7</f>
        <v>-0.760301883675033</v>
      </c>
    </row>
    <row r="30" ht="20.05" customHeight="1">
      <c r="B30" s="30"/>
      <c r="C30" s="13"/>
      <c r="D30" s="14">
        <f>'Model'!D6</f>
        <v>339.23925</v>
      </c>
      <c r="E30" s="14"/>
      <c r="F30" s="14"/>
      <c r="G30" s="12"/>
      <c r="H30" s="12"/>
      <c r="I30" s="12"/>
      <c r="J30" s="12"/>
    </row>
    <row r="31" ht="20.05" customHeight="1">
      <c r="B31" s="30"/>
      <c r="C31" s="13"/>
      <c r="D31" s="14">
        <f>'Model'!E6</f>
        <v>373.163175</v>
      </c>
      <c r="E31" s="14">
        <f>SUM(C22:C28)</f>
        <v>1889.86</v>
      </c>
      <c r="F31" s="14">
        <f>SUM(D22:D28)</f>
        <v>1951.10537</v>
      </c>
      <c r="G31" s="12"/>
      <c r="H31" s="12"/>
      <c r="I31" s="12"/>
      <c r="J31" s="12"/>
    </row>
    <row r="32" ht="20.05" customHeight="1">
      <c r="B32" s="31">
        <v>2023</v>
      </c>
      <c r="C32" s="13"/>
      <c r="D32" s="20">
        <f>'Model'!F6</f>
        <v>369.43154325</v>
      </c>
      <c r="E32" s="20"/>
      <c r="F32" s="20"/>
      <c r="G32" s="12"/>
      <c r="H32" s="12"/>
      <c r="I32" s="12"/>
      <c r="J32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2" customWidth="1"/>
    <col min="2" max="2" width="8.33594" style="32" customWidth="1"/>
    <col min="3" max="15" width="11.0469" style="32" customWidth="1"/>
    <col min="16" max="16384" width="16.3516" style="32" customWidth="1"/>
  </cols>
  <sheetData>
    <row r="1" ht="36.4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48</v>
      </c>
      <c r="G3" t="s" s="5">
        <v>49</v>
      </c>
      <c r="H3" t="s" s="5">
        <v>11</v>
      </c>
      <c r="I3" t="s" s="5">
        <v>50</v>
      </c>
      <c r="J3" t="s" s="5">
        <v>51</v>
      </c>
      <c r="K3" t="s" s="5">
        <v>3</v>
      </c>
      <c r="L3" t="s" s="5">
        <v>35</v>
      </c>
      <c r="M3" t="s" s="5">
        <v>52</v>
      </c>
      <c r="N3" t="s" s="5">
        <v>35</v>
      </c>
      <c r="O3" s="33"/>
    </row>
    <row r="4" ht="20.25" customHeight="1">
      <c r="B4" s="26">
        <v>2016</v>
      </c>
      <c r="C4" s="34">
        <v>126.941</v>
      </c>
      <c r="D4" s="35">
        <v>26.609</v>
      </c>
      <c r="E4" s="35">
        <v>-33.5335</v>
      </c>
      <c r="F4" s="35"/>
      <c r="G4" s="35"/>
      <c r="H4" s="35">
        <v>9.5555</v>
      </c>
      <c r="I4" s="35">
        <v>0</v>
      </c>
      <c r="J4" s="35">
        <f>D4+E4+I4</f>
        <v>-6.9245</v>
      </c>
      <c r="K4" s="35"/>
      <c r="L4" s="35"/>
      <c r="M4" s="35">
        <f>-(H4-I4)</f>
        <v>-9.5555</v>
      </c>
      <c r="N4" s="35"/>
      <c r="O4" s="35">
        <v>1</v>
      </c>
    </row>
    <row r="5" ht="20.05" customHeight="1">
      <c r="B5" s="30"/>
      <c r="C5" s="15">
        <v>126.941</v>
      </c>
      <c r="D5" s="16">
        <v>26.609</v>
      </c>
      <c r="E5" s="16">
        <v>-33.5335</v>
      </c>
      <c r="F5" s="16"/>
      <c r="G5" s="16"/>
      <c r="H5" s="16">
        <v>9.5555</v>
      </c>
      <c r="I5" s="16">
        <v>0</v>
      </c>
      <c r="J5" s="16">
        <f>D5+E5+I5</f>
        <v>-6.9245</v>
      </c>
      <c r="K5" s="16"/>
      <c r="L5" s="16"/>
      <c r="M5" s="16">
        <f>-(H5-I5)+M4</f>
        <v>-19.111</v>
      </c>
      <c r="N5" s="16"/>
      <c r="O5" s="16">
        <f>1+O4</f>
        <v>2</v>
      </c>
    </row>
    <row r="6" ht="20.05" customHeight="1">
      <c r="B6" s="30"/>
      <c r="C6" s="15">
        <v>136.344</v>
      </c>
      <c r="D6" s="16">
        <v>46.408</v>
      </c>
      <c r="E6" s="16">
        <v>-55.476</v>
      </c>
      <c r="F6" s="16"/>
      <c r="G6" s="16"/>
      <c r="H6" s="16">
        <v>3.611</v>
      </c>
      <c r="I6" s="16">
        <v>0</v>
      </c>
      <c r="J6" s="16">
        <f>D6+E6+I6</f>
        <v>-9.068</v>
      </c>
      <c r="K6" s="16"/>
      <c r="L6" s="16"/>
      <c r="M6" s="16">
        <f>-(H6-I6)+M5</f>
        <v>-22.722</v>
      </c>
      <c r="N6" s="16"/>
      <c r="O6" s="16">
        <f>1+O5</f>
        <v>3</v>
      </c>
    </row>
    <row r="7" ht="20.05" customHeight="1">
      <c r="B7" s="30"/>
      <c r="C7" s="15">
        <v>134.451</v>
      </c>
      <c r="D7" s="16">
        <v>2.268</v>
      </c>
      <c r="E7" s="16">
        <v>-35.553</v>
      </c>
      <c r="F7" s="16"/>
      <c r="G7" s="16"/>
      <c r="H7" s="16">
        <v>32.724</v>
      </c>
      <c r="I7" s="16">
        <v>0</v>
      </c>
      <c r="J7" s="16">
        <f>D7+E7+I7</f>
        <v>-33.285</v>
      </c>
      <c r="K7" s="16"/>
      <c r="L7" s="16"/>
      <c r="M7" s="16">
        <f>-(H7-I7)+M6</f>
        <v>-55.446</v>
      </c>
      <c r="N7" s="16"/>
      <c r="O7" s="16">
        <f>1+O6</f>
        <v>4</v>
      </c>
    </row>
    <row r="8" ht="20.05" customHeight="1">
      <c r="B8" s="31">
        <v>2017</v>
      </c>
      <c r="C8" s="15">
        <v>139.618</v>
      </c>
      <c r="D8" s="16">
        <v>30.015</v>
      </c>
      <c r="E8" s="16">
        <v>-18.597</v>
      </c>
      <c r="F8" s="16"/>
      <c r="G8" s="16"/>
      <c r="H8" s="16">
        <v>-11.34</v>
      </c>
      <c r="I8" s="16">
        <v>0</v>
      </c>
      <c r="J8" s="16">
        <f>D8+E8+I8</f>
        <v>11.418</v>
      </c>
      <c r="K8" s="16">
        <f>AVERAGE(J5:J8)</f>
        <v>-9.464874999999999</v>
      </c>
      <c r="L8" s="16"/>
      <c r="M8" s="16">
        <f>-(H8-I8)+M7</f>
        <v>-44.106</v>
      </c>
      <c r="N8" s="16"/>
      <c r="O8" s="16">
        <f>1+O7</f>
        <v>5</v>
      </c>
    </row>
    <row r="9" ht="20.05" customHeight="1">
      <c r="B9" s="30"/>
      <c r="C9" s="15">
        <v>139.609</v>
      </c>
      <c r="D9" s="16">
        <v>6.982</v>
      </c>
      <c r="E9" s="16">
        <v>-58.4</v>
      </c>
      <c r="F9" s="16"/>
      <c r="G9" s="16"/>
      <c r="H9" s="16">
        <v>58.029</v>
      </c>
      <c r="I9" s="16">
        <v>0</v>
      </c>
      <c r="J9" s="16">
        <f>D9+E9+I9</f>
        <v>-51.418</v>
      </c>
      <c r="K9" s="16">
        <f>AVERAGE(J6:J9)</f>
        <v>-20.58825</v>
      </c>
      <c r="L9" s="16"/>
      <c r="M9" s="16">
        <f>-(H9-I9)+M8</f>
        <v>-102.135</v>
      </c>
      <c r="N9" s="16"/>
      <c r="O9" s="16">
        <f>1+O8</f>
        <v>6</v>
      </c>
    </row>
    <row r="10" ht="20.05" customHeight="1">
      <c r="B10" s="30"/>
      <c r="C10" s="15">
        <v>157.459</v>
      </c>
      <c r="D10" s="16">
        <v>43.075</v>
      </c>
      <c r="E10" s="16">
        <v>-83.893</v>
      </c>
      <c r="F10" s="16"/>
      <c r="G10" s="16"/>
      <c r="H10" s="16">
        <v>40.329</v>
      </c>
      <c r="I10" s="16">
        <v>0</v>
      </c>
      <c r="J10" s="16">
        <f>D10+E10+I10</f>
        <v>-40.818</v>
      </c>
      <c r="K10" s="16">
        <f>AVERAGE(J7:J10)</f>
        <v>-28.52575</v>
      </c>
      <c r="L10" s="16"/>
      <c r="M10" s="16">
        <f>-(H10-I10)+M9</f>
        <v>-142.464</v>
      </c>
      <c r="N10" s="16"/>
      <c r="O10" s="16">
        <f>1+O9</f>
        <v>7</v>
      </c>
    </row>
    <row r="11" ht="20.05" customHeight="1">
      <c r="B11" s="30"/>
      <c r="C11" s="15">
        <v>159.241</v>
      </c>
      <c r="D11" s="16">
        <v>-1.586</v>
      </c>
      <c r="E11" s="16">
        <v>-35.911</v>
      </c>
      <c r="F11" s="16"/>
      <c r="G11" s="16"/>
      <c r="H11" s="16">
        <v>33.313</v>
      </c>
      <c r="I11" s="16">
        <v>0</v>
      </c>
      <c r="J11" s="16">
        <f>D11+E11+I11</f>
        <v>-37.497</v>
      </c>
      <c r="K11" s="16">
        <f>AVERAGE(J8:J11)</f>
        <v>-29.57875</v>
      </c>
      <c r="L11" s="16"/>
      <c r="M11" s="16">
        <f>-(H11-I11)+M10</f>
        <v>-175.777</v>
      </c>
      <c r="N11" s="16"/>
      <c r="O11" s="16">
        <f>1+O10</f>
        <v>8</v>
      </c>
    </row>
    <row r="12" ht="20.05" customHeight="1">
      <c r="B12" s="31">
        <v>2018</v>
      </c>
      <c r="C12" s="15">
        <v>163.53</v>
      </c>
      <c r="D12" s="16">
        <v>35.016</v>
      </c>
      <c r="E12" s="16">
        <v>-20.251</v>
      </c>
      <c r="F12" s="16"/>
      <c r="G12" s="16"/>
      <c r="H12" s="16">
        <v>-14.55</v>
      </c>
      <c r="I12" s="16">
        <v>0</v>
      </c>
      <c r="J12" s="16">
        <f>D12+E12+I12</f>
        <v>14.765</v>
      </c>
      <c r="K12" s="16">
        <f>AVERAGE(J9:J12)</f>
        <v>-28.742</v>
      </c>
      <c r="L12" s="16"/>
      <c r="M12" s="16">
        <f>-(H12-I12)+M11</f>
        <v>-161.227</v>
      </c>
      <c r="N12" s="16"/>
      <c r="O12" s="16">
        <f>1+O11</f>
        <v>9</v>
      </c>
    </row>
    <row r="13" ht="20.05" customHeight="1">
      <c r="B13" s="30"/>
      <c r="C13" s="15">
        <v>196.563</v>
      </c>
      <c r="D13" s="16">
        <v>29.168</v>
      </c>
      <c r="E13" s="16">
        <v>-38.98</v>
      </c>
      <c r="F13" s="16"/>
      <c r="G13" s="16"/>
      <c r="H13" s="16">
        <v>9.663</v>
      </c>
      <c r="I13" s="16">
        <v>0</v>
      </c>
      <c r="J13" s="16">
        <f>D13+E13+I13</f>
        <v>-9.811999999999999</v>
      </c>
      <c r="K13" s="16">
        <f>AVERAGE(J10:J13)</f>
        <v>-18.3405</v>
      </c>
      <c r="L13" s="16"/>
      <c r="M13" s="16">
        <f>-(H13-I13)+M12</f>
        <v>-170.89</v>
      </c>
      <c r="N13" s="16"/>
      <c r="O13" s="16">
        <f>1+O12</f>
        <v>10</v>
      </c>
    </row>
    <row r="14" ht="20.05" customHeight="1">
      <c r="B14" s="30"/>
      <c r="C14" s="15">
        <v>234.738</v>
      </c>
      <c r="D14" s="16">
        <v>42.123</v>
      </c>
      <c r="E14" s="16">
        <v>-54.476</v>
      </c>
      <c r="F14" s="16"/>
      <c r="G14" s="16"/>
      <c r="H14" s="16">
        <v>11.004</v>
      </c>
      <c r="I14" s="16">
        <v>0</v>
      </c>
      <c r="J14" s="16">
        <f>D14+E14+I14</f>
        <v>-12.353</v>
      </c>
      <c r="K14" s="16">
        <f>AVERAGE(J11:J14)</f>
        <v>-11.22425</v>
      </c>
      <c r="L14" s="16"/>
      <c r="M14" s="16">
        <f>-(H14-I14)+M13</f>
        <v>-181.894</v>
      </c>
      <c r="N14" s="16"/>
      <c r="O14" s="16">
        <f>1+O13</f>
        <v>11</v>
      </c>
    </row>
    <row r="15" ht="20.05" customHeight="1">
      <c r="B15" s="30"/>
      <c r="C15" s="15">
        <v>221.191</v>
      </c>
      <c r="D15" s="16">
        <v>25.532</v>
      </c>
      <c r="E15" s="16">
        <v>-64.922</v>
      </c>
      <c r="F15" s="16"/>
      <c r="G15" s="16"/>
      <c r="H15" s="16">
        <v>40.926</v>
      </c>
      <c r="I15" s="16">
        <v>-0.906</v>
      </c>
      <c r="J15" s="16">
        <f>D15+E15+I15</f>
        <v>-40.296</v>
      </c>
      <c r="K15" s="16">
        <f>AVERAGE(J12:J15)</f>
        <v>-11.924</v>
      </c>
      <c r="L15" s="16"/>
      <c r="M15" s="16">
        <f>-(H15-I15)+M14</f>
        <v>-223.726</v>
      </c>
      <c r="N15" s="16"/>
      <c r="O15" s="16">
        <f>1+O14</f>
        <v>12</v>
      </c>
    </row>
    <row r="16" ht="20.05" customHeight="1">
      <c r="B16" s="31">
        <v>2019</v>
      </c>
      <c r="C16" s="15">
        <v>206.829</v>
      </c>
      <c r="D16" s="16">
        <v>49.089</v>
      </c>
      <c r="E16" s="16">
        <v>-93.38</v>
      </c>
      <c r="F16" s="16"/>
      <c r="G16" s="16"/>
      <c r="H16" s="16">
        <v>58.208</v>
      </c>
      <c r="I16" s="16">
        <v>-0.332</v>
      </c>
      <c r="J16" s="16">
        <f>D16+E16+I16</f>
        <v>-44.623</v>
      </c>
      <c r="K16" s="16">
        <f>AVERAGE(J13:J16)</f>
        <v>-26.771</v>
      </c>
      <c r="L16" s="16"/>
      <c r="M16" s="16">
        <f>-(H16-I16)+M15</f>
        <v>-282.266</v>
      </c>
      <c r="N16" s="16"/>
      <c r="O16" s="16">
        <f>1+O15</f>
        <v>13</v>
      </c>
    </row>
    <row r="17" ht="20.05" customHeight="1">
      <c r="B17" s="30"/>
      <c r="C17" s="15">
        <v>244.648</v>
      </c>
      <c r="D17" s="16">
        <v>17.909</v>
      </c>
      <c r="E17" s="16">
        <v>-89.098</v>
      </c>
      <c r="F17" s="16"/>
      <c r="G17" s="16"/>
      <c r="H17" s="16">
        <v>70.367</v>
      </c>
      <c r="I17" s="16">
        <v>-1.066</v>
      </c>
      <c r="J17" s="16">
        <f>D17+E17+I17</f>
        <v>-72.255</v>
      </c>
      <c r="K17" s="16">
        <f>AVERAGE(J14:J17)</f>
        <v>-42.38175</v>
      </c>
      <c r="L17" s="16"/>
      <c r="M17" s="16">
        <f>-(H17-I17)+M16</f>
        <v>-353.699</v>
      </c>
      <c r="N17" s="16"/>
      <c r="O17" s="16">
        <f>1+O16</f>
        <v>14</v>
      </c>
    </row>
    <row r="18" ht="20.05" customHeight="1">
      <c r="B18" s="30"/>
      <c r="C18" s="15">
        <v>259.455</v>
      </c>
      <c r="D18" s="16">
        <v>53.972</v>
      </c>
      <c r="E18" s="16">
        <v>-154.964</v>
      </c>
      <c r="F18" s="16"/>
      <c r="G18" s="16"/>
      <c r="H18" s="16">
        <v>61.195</v>
      </c>
      <c r="I18" s="16">
        <v>-0.6919999999999999</v>
      </c>
      <c r="J18" s="16">
        <f>D18+E18+I18</f>
        <v>-101.684</v>
      </c>
      <c r="K18" s="16">
        <f>AVERAGE(J15:J18)</f>
        <v>-64.7145</v>
      </c>
      <c r="L18" s="16"/>
      <c r="M18" s="16">
        <f>-(H18-I18)+M17</f>
        <v>-415.586</v>
      </c>
      <c r="N18" s="16"/>
      <c r="O18" s="16">
        <f>1+O17</f>
        <v>15</v>
      </c>
    </row>
    <row r="19" ht="20.05" customHeight="1">
      <c r="B19" s="30"/>
      <c r="C19" s="15">
        <v>349.357</v>
      </c>
      <c r="D19" s="16">
        <v>77.175</v>
      </c>
      <c r="E19" s="16">
        <v>-84.78700000000001</v>
      </c>
      <c r="F19" s="16"/>
      <c r="G19" s="16"/>
      <c r="H19" s="16">
        <v>38.855</v>
      </c>
      <c r="I19" s="16">
        <v>-0.956</v>
      </c>
      <c r="J19" s="16">
        <f>D19+E19+I19</f>
        <v>-8.568</v>
      </c>
      <c r="K19" s="16">
        <f>AVERAGE(J16:J19)</f>
        <v>-56.7825</v>
      </c>
      <c r="L19" s="16"/>
      <c r="M19" s="16">
        <f>-(H19-I19)+M18</f>
        <v>-455.397</v>
      </c>
      <c r="N19" s="16"/>
      <c r="O19" s="16">
        <f>1+O18</f>
        <v>16</v>
      </c>
    </row>
    <row r="20" ht="20.05" customHeight="1">
      <c r="B20" s="31">
        <v>2020</v>
      </c>
      <c r="C20" s="15">
        <v>263.346</v>
      </c>
      <c r="D20" s="16">
        <v>39.972</v>
      </c>
      <c r="E20" s="16">
        <v>-50.517</v>
      </c>
      <c r="F20" s="16">
        <f>H20-G20-I20</f>
        <v>28.776</v>
      </c>
      <c r="G20" s="16">
        <v>0</v>
      </c>
      <c r="H20" s="16">
        <v>27.076</v>
      </c>
      <c r="I20" s="16">
        <f>-1-0.7</f>
        <v>-1.7</v>
      </c>
      <c r="J20" s="16">
        <f>D20+E20+I20</f>
        <v>-12.245</v>
      </c>
      <c r="K20" s="16">
        <f>AVERAGE(J17:J20)</f>
        <v>-48.688</v>
      </c>
      <c r="L20" s="16"/>
      <c r="M20" s="16">
        <f>-(H20-I20)+M19</f>
        <v>-484.173</v>
      </c>
      <c r="N20" s="16"/>
      <c r="O20" s="16">
        <f>1+O19</f>
        <v>17</v>
      </c>
    </row>
    <row r="21" ht="20.05" customHeight="1">
      <c r="B21" s="30"/>
      <c r="C21" s="15">
        <v>230.33</v>
      </c>
      <c r="D21" s="16">
        <v>31.106</v>
      </c>
      <c r="E21" s="16">
        <v>-72.816</v>
      </c>
      <c r="F21" s="16">
        <f>H21-G21-I21</f>
        <v>40.744</v>
      </c>
      <c r="G21" s="16">
        <f>-2.7-G20</f>
        <v>-2.7</v>
      </c>
      <c r="H21" s="16">
        <v>36.344</v>
      </c>
      <c r="I21" s="16">
        <f>-2-1.4-I20</f>
        <v>-1.7</v>
      </c>
      <c r="J21" s="16">
        <f>D21+E21+I21</f>
        <v>-43.41</v>
      </c>
      <c r="K21" s="16">
        <f>AVERAGE(J18:J21)</f>
        <v>-41.47675</v>
      </c>
      <c r="L21" s="16"/>
      <c r="M21" s="16">
        <f>-(H21-I21)+M20</f>
        <v>-522.217</v>
      </c>
      <c r="N21" s="16"/>
      <c r="O21" s="16">
        <f>1+O20</f>
        <v>18</v>
      </c>
    </row>
    <row r="22" ht="20.05" customHeight="1">
      <c r="B22" s="30"/>
      <c r="C22" s="15">
        <f>721.42-SUM(C20:C21)</f>
        <v>227.744</v>
      </c>
      <c r="D22" s="16">
        <f>148.577-SUM(D20:D21)</f>
        <v>77.499</v>
      </c>
      <c r="E22" s="16">
        <f>-153.671-SUM(E20:E21)</f>
        <v>-30.338</v>
      </c>
      <c r="F22" s="16">
        <f>H22-G22-I22</f>
        <v>-49.568</v>
      </c>
      <c r="G22" s="16">
        <f>-2.7-SUM(G20:G21)</f>
        <v>0</v>
      </c>
      <c r="H22" s="16">
        <f>11.952-SUM(H20:H21)</f>
        <v>-51.468</v>
      </c>
      <c r="I22" s="16">
        <f>-3.1-2.2-SUM(I20:I21)</f>
        <v>-1.9</v>
      </c>
      <c r="J22" s="16">
        <f>D22+E22+I22</f>
        <v>45.261</v>
      </c>
      <c r="K22" s="16">
        <f>AVERAGE(J19:J22)</f>
        <v>-4.7405</v>
      </c>
      <c r="L22" s="16"/>
      <c r="M22" s="16">
        <f>-(H22-I22)+M21</f>
        <v>-472.649</v>
      </c>
      <c r="N22" s="16"/>
      <c r="O22" s="16">
        <f>1+O21</f>
        <v>19</v>
      </c>
    </row>
    <row r="23" ht="20.05" customHeight="1">
      <c r="B23" s="30"/>
      <c r="C23" s="15">
        <f>981.4-SUM(C20:C22)</f>
        <v>259.98</v>
      </c>
      <c r="D23" s="16">
        <f>226.9-SUM(D20:D22)</f>
        <v>78.32299999999999</v>
      </c>
      <c r="E23" s="16">
        <f>-171.1-SUM(E20:E22)</f>
        <v>-17.429</v>
      </c>
      <c r="F23" s="16">
        <f>H23-G23-I23</f>
        <v>-48.352</v>
      </c>
      <c r="G23" s="16">
        <f>-2.7-SUM(G20:G22)</f>
        <v>0</v>
      </c>
      <c r="H23" s="16">
        <f>-39.3-SUM(H20:H22)</f>
        <v>-51.252</v>
      </c>
      <c r="I23" s="16">
        <f>-4.3-1-2.9-SUM(I20:I22)</f>
        <v>-2.9</v>
      </c>
      <c r="J23" s="16">
        <f>D23+E23+I23</f>
        <v>57.994</v>
      </c>
      <c r="K23" s="16">
        <f>AVERAGE(J20:J23)</f>
        <v>11.9</v>
      </c>
      <c r="L23" s="16"/>
      <c r="M23" s="16">
        <f>-(H23-I23)+M22</f>
        <v>-424.297</v>
      </c>
      <c r="N23" s="16"/>
      <c r="O23" s="16">
        <f>1+O22</f>
        <v>20</v>
      </c>
    </row>
    <row r="24" ht="20.05" customHeight="1">
      <c r="B24" s="31">
        <v>2021</v>
      </c>
      <c r="C24" s="15">
        <v>231</v>
      </c>
      <c r="D24" s="16">
        <v>68</v>
      </c>
      <c r="E24" s="16">
        <v>-21</v>
      </c>
      <c r="F24" s="16">
        <f>H24-G24-I24</f>
        <v>-11.2</v>
      </c>
      <c r="G24" s="16">
        <v>0</v>
      </c>
      <c r="H24" s="16">
        <v>-13</v>
      </c>
      <c r="I24" s="16">
        <f>-1.1-0.7</f>
        <v>-1.8</v>
      </c>
      <c r="J24" s="16">
        <f>D24+E24+I24</f>
        <v>45.2</v>
      </c>
      <c r="K24" s="16">
        <f>AVERAGE(J21:J24)</f>
        <v>26.26125</v>
      </c>
      <c r="L24" s="16"/>
      <c r="M24" s="16">
        <f>-(H24-I24)+M23</f>
        <v>-413.097</v>
      </c>
      <c r="N24" s="16"/>
      <c r="O24" s="16">
        <f>1+O23</f>
        <v>21</v>
      </c>
    </row>
    <row r="25" ht="20.05" customHeight="1">
      <c r="B25" s="30"/>
      <c r="C25" s="15">
        <f>584.3-C24</f>
        <v>353.3</v>
      </c>
      <c r="D25" s="16">
        <f>176.6-D24</f>
        <v>108.6</v>
      </c>
      <c r="E25" s="16">
        <f>-51.7-E24</f>
        <v>-30.7</v>
      </c>
      <c r="F25" s="16">
        <f>H25-G25-I25</f>
        <v>-11.3</v>
      </c>
      <c r="G25" s="16">
        <f>-30-G24</f>
        <v>-30</v>
      </c>
      <c r="H25" s="16">
        <f>-56.9-H24</f>
        <v>-43.9</v>
      </c>
      <c r="I25" s="16">
        <f>-0.6-2.3-1.5-I24</f>
        <v>-2.6</v>
      </c>
      <c r="J25" s="16">
        <f>D25+E25+I25</f>
        <v>75.3</v>
      </c>
      <c r="K25" s="16">
        <f>AVERAGE(J22:J25)</f>
        <v>55.93875</v>
      </c>
      <c r="L25" s="16"/>
      <c r="M25" s="16">
        <f>-(H25-I25)+M24</f>
        <v>-371.797</v>
      </c>
      <c r="N25" s="16"/>
      <c r="O25" s="16">
        <f>1+O24</f>
        <v>22</v>
      </c>
    </row>
    <row r="26" ht="20.05" customHeight="1">
      <c r="B26" s="30"/>
      <c r="C26" s="15">
        <f>883-SUM(C24:C25)</f>
        <v>298.7</v>
      </c>
      <c r="D26" s="16">
        <f>196.5-SUM(D24:D25)</f>
        <v>19.9</v>
      </c>
      <c r="E26" s="16">
        <f>-61.7-SUM(E24:E25)</f>
        <v>-10</v>
      </c>
      <c r="F26" s="16">
        <f>H26-G26-I26</f>
        <v>-67.5</v>
      </c>
      <c r="G26" s="16">
        <f>-15.9-30-SUM(G24:G25)</f>
        <v>-15.9</v>
      </c>
      <c r="H26" s="16">
        <f>-142.3-SUM(H24:H25)</f>
        <v>-85.40000000000001</v>
      </c>
      <c r="I26" s="16">
        <f>-2.2-0.7-3.5-SUM(I24:I25)</f>
        <v>-2</v>
      </c>
      <c r="J26" s="16">
        <f>D26+E26+I26</f>
        <v>7.9</v>
      </c>
      <c r="K26" s="16">
        <f>AVERAGE(J23:J26)</f>
        <v>46.5985</v>
      </c>
      <c r="L26" s="16"/>
      <c r="M26" s="16">
        <f>-(H26-I26)+M25</f>
        <v>-288.397</v>
      </c>
      <c r="N26" s="16"/>
      <c r="O26" s="16">
        <f>1+O25</f>
        <v>23</v>
      </c>
    </row>
    <row r="27" ht="20.05" customHeight="1">
      <c r="B27" s="30"/>
      <c r="C27" s="15">
        <f>1101.2-SUM(C24:C26)</f>
        <v>218.2</v>
      </c>
      <c r="D27" s="16">
        <f>305-SUM(D24:D26)</f>
        <v>108.5</v>
      </c>
      <c r="E27" s="16">
        <f>-157.1-SUM(E24:E26)</f>
        <v>-95.40000000000001</v>
      </c>
      <c r="F27" s="16">
        <f>H27-G27-I27</f>
        <v>8.5</v>
      </c>
      <c r="G27" s="16">
        <f>-15.9-59.9-SUM(G24:G26)</f>
        <v>-29.9</v>
      </c>
      <c r="H27" s="16">
        <f>-166-SUM(H24:H26)</f>
        <v>-23.7</v>
      </c>
      <c r="I27" s="16">
        <f>-1-4.7-3-SUM(I24:I26)</f>
        <v>-2.3</v>
      </c>
      <c r="J27" s="16">
        <f>D27+E27+I27</f>
        <v>10.8</v>
      </c>
      <c r="K27" s="16">
        <f>AVERAGE(J24:J27)</f>
        <v>34.8</v>
      </c>
      <c r="L27" s="16"/>
      <c r="M27" s="16">
        <f>-(H27-I27)+M26</f>
        <v>-266.997</v>
      </c>
      <c r="N27" s="16"/>
      <c r="O27" s="16">
        <f>1+O26</f>
        <v>24</v>
      </c>
    </row>
    <row r="28" ht="20.05" customHeight="1">
      <c r="B28" s="31">
        <v>2022</v>
      </c>
      <c r="C28" s="15">
        <v>314.1</v>
      </c>
      <c r="D28" s="16">
        <v>134.2</v>
      </c>
      <c r="E28" s="16">
        <v>-80.5</v>
      </c>
      <c r="F28" s="16">
        <f>H28-G28-I28</f>
        <v>-33</v>
      </c>
      <c r="G28" s="16">
        <v>0</v>
      </c>
      <c r="H28" s="16">
        <v>-35</v>
      </c>
      <c r="I28" s="16">
        <f>-1.2-0.8</f>
        <v>-2</v>
      </c>
      <c r="J28" s="16">
        <f>D28+E28+I28</f>
        <v>51.7</v>
      </c>
      <c r="K28" s="16">
        <f>AVERAGE(J25:J28)</f>
        <v>36.425</v>
      </c>
      <c r="L28" s="16">
        <v>43.107542656250</v>
      </c>
      <c r="M28" s="16">
        <f>-(H28-I28)+M27</f>
        <v>-233.997</v>
      </c>
      <c r="N28" s="16">
        <v>-198.62879375</v>
      </c>
      <c r="O28" s="16">
        <f>1+O27</f>
        <v>25</v>
      </c>
    </row>
    <row r="29" ht="20.05" customHeight="1">
      <c r="B29" s="30"/>
      <c r="C29" s="15"/>
      <c r="D29" s="16"/>
      <c r="E29" s="16"/>
      <c r="F29" s="16"/>
      <c r="G29" s="16"/>
      <c r="H29" s="16"/>
      <c r="I29" s="16"/>
      <c r="J29" s="16"/>
      <c r="K29" s="21"/>
      <c r="L29" s="16">
        <f>SUM('Model'!F9:F11)</f>
        <v>39.032045028051</v>
      </c>
      <c r="M29" s="21"/>
      <c r="N29" s="16">
        <f>'Model'!F34</f>
        <v>-159.773546587148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2031" style="36" customWidth="1"/>
    <col min="2" max="2" width="8.58594" style="36" customWidth="1"/>
    <col min="3" max="11" width="9.39062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53</v>
      </c>
      <c r="C3" t="s" s="5">
        <v>54</v>
      </c>
      <c r="D3" t="s" s="5">
        <v>55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26</v>
      </c>
      <c r="J3" t="s" s="5">
        <v>27</v>
      </c>
      <c r="K3" t="s" s="5">
        <v>35</v>
      </c>
    </row>
    <row r="4" ht="20.25" customHeight="1">
      <c r="B4" s="26">
        <v>2017</v>
      </c>
      <c r="C4" s="34"/>
      <c r="D4" s="35"/>
      <c r="E4" s="35">
        <f>D4-C4</f>
        <v>0</v>
      </c>
      <c r="F4" s="37"/>
      <c r="G4" s="37"/>
      <c r="H4" s="37"/>
      <c r="I4" s="37"/>
      <c r="J4" s="37"/>
      <c r="K4" s="35"/>
    </row>
    <row r="5" ht="20.05" customHeight="1">
      <c r="B5" s="30"/>
      <c r="C5" s="15">
        <v>48</v>
      </c>
      <c r="D5" s="16">
        <v>581</v>
      </c>
      <c r="E5" s="16">
        <f>D5-C5</f>
        <v>533</v>
      </c>
      <c r="F5" s="20">
        <f t="shared" si="2" ref="F5:F8">2+198</f>
        <v>200</v>
      </c>
      <c r="G5" s="16">
        <v>316</v>
      </c>
      <c r="H5" s="16">
        <v>265</v>
      </c>
      <c r="I5" s="16">
        <f>G5+H5-C5-E5</f>
        <v>0</v>
      </c>
      <c r="J5" s="16">
        <f>C5-G5</f>
        <v>-268</v>
      </c>
      <c r="K5" s="16"/>
    </row>
    <row r="6" ht="20.05" customHeight="1">
      <c r="B6" s="30"/>
      <c r="C6" s="15">
        <v>7</v>
      </c>
      <c r="D6" s="16">
        <v>628</v>
      </c>
      <c r="E6" s="16">
        <f>D6-C6</f>
        <v>621</v>
      </c>
      <c r="F6" s="20">
        <f>2+216</f>
        <v>218</v>
      </c>
      <c r="G6" s="16">
        <v>342</v>
      </c>
      <c r="H6" s="16">
        <v>286</v>
      </c>
      <c r="I6" s="16">
        <f>G6+H6-C6-E6</f>
        <v>0</v>
      </c>
      <c r="J6" s="16">
        <f>C6-G6</f>
        <v>-335</v>
      </c>
      <c r="K6" s="16"/>
    </row>
    <row r="7" ht="20.05" customHeight="1">
      <c r="B7" s="30"/>
      <c r="C7" s="15">
        <v>3</v>
      </c>
      <c r="D7" s="16">
        <v>661</v>
      </c>
      <c r="E7" s="16">
        <f>D7-C7</f>
        <v>658</v>
      </c>
      <c r="F7" s="20">
        <f>2+229</f>
        <v>231</v>
      </c>
      <c r="G7" s="16">
        <v>363</v>
      </c>
      <c r="H7" s="16">
        <v>298</v>
      </c>
      <c r="I7" s="16">
        <f>G7+H7-C7-E7</f>
        <v>0</v>
      </c>
      <c r="J7" s="16">
        <f>C7-G7</f>
        <v>-360</v>
      </c>
      <c r="K7" s="16"/>
    </row>
    <row r="8" ht="20.05" customHeight="1">
      <c r="B8" s="31">
        <v>2018</v>
      </c>
      <c r="C8" s="15">
        <v>3</v>
      </c>
      <c r="D8" s="16">
        <v>671</v>
      </c>
      <c r="E8" s="16">
        <f>D8-C8</f>
        <v>668</v>
      </c>
      <c r="F8" s="20">
        <f t="shared" si="2"/>
        <v>200</v>
      </c>
      <c r="G8" s="16">
        <v>361</v>
      </c>
      <c r="H8" s="16">
        <v>310</v>
      </c>
      <c r="I8" s="16">
        <f>G8+H8-C8-E8</f>
        <v>0</v>
      </c>
      <c r="J8" s="16">
        <f>C8-G8</f>
        <v>-358</v>
      </c>
      <c r="K8" s="16"/>
    </row>
    <row r="9" ht="20.05" customHeight="1">
      <c r="B9" s="30"/>
      <c r="C9" s="15">
        <v>3</v>
      </c>
      <c r="D9" s="16">
        <v>730</v>
      </c>
      <c r="E9" s="16">
        <f>D9-C9</f>
        <v>727</v>
      </c>
      <c r="F9" s="20">
        <f>3+254</f>
        <v>257</v>
      </c>
      <c r="G9" s="16">
        <v>404</v>
      </c>
      <c r="H9" s="16">
        <v>326</v>
      </c>
      <c r="I9" s="16">
        <f>G9+H9-C9-E9</f>
        <v>0</v>
      </c>
      <c r="J9" s="16">
        <f>C9-G9</f>
        <v>-401</v>
      </c>
      <c r="K9" s="16"/>
    </row>
    <row r="10" ht="20.05" customHeight="1">
      <c r="B10" s="30"/>
      <c r="C10" s="15">
        <v>2</v>
      </c>
      <c r="D10" s="16">
        <v>788</v>
      </c>
      <c r="E10" s="16">
        <f>D10-C10</f>
        <v>786</v>
      </c>
      <c r="F10" s="20">
        <f>3+269</f>
        <v>272</v>
      </c>
      <c r="G10" s="16">
        <v>443</v>
      </c>
      <c r="H10" s="16">
        <v>345</v>
      </c>
      <c r="I10" s="16">
        <f>G10+H10-C10-E10</f>
        <v>0</v>
      </c>
      <c r="J10" s="16">
        <f>C10-G10</f>
        <v>-441</v>
      </c>
      <c r="K10" s="16"/>
    </row>
    <row r="11" ht="20.05" customHeight="1">
      <c r="B11" s="30"/>
      <c r="C11" s="15">
        <v>3</v>
      </c>
      <c r="D11" s="16">
        <v>833</v>
      </c>
      <c r="E11" s="16">
        <f>D11-C11</f>
        <v>830</v>
      </c>
      <c r="F11" s="20">
        <f>3+280</f>
        <v>283</v>
      </c>
      <c r="G11" s="16">
        <v>198</v>
      </c>
      <c r="H11" s="16">
        <v>635</v>
      </c>
      <c r="I11" s="16">
        <f>G11+H11-C11-E11</f>
        <v>0</v>
      </c>
      <c r="J11" s="16">
        <f>C11-G11</f>
        <v>-195</v>
      </c>
      <c r="K11" s="16"/>
    </row>
    <row r="12" ht="20.05" customHeight="1">
      <c r="B12" s="31">
        <v>2019</v>
      </c>
      <c r="C12" s="15">
        <v>17</v>
      </c>
      <c r="D12" s="16">
        <v>948</v>
      </c>
      <c r="E12" s="16">
        <f>D12-C12</f>
        <v>931</v>
      </c>
      <c r="F12" s="16">
        <f>3+290</f>
        <v>293</v>
      </c>
      <c r="G12" s="16">
        <v>287</v>
      </c>
      <c r="H12" s="16">
        <v>661</v>
      </c>
      <c r="I12" s="16">
        <f>G12+H12-C12-E12</f>
        <v>0</v>
      </c>
      <c r="J12" s="16">
        <f>C12-G12</f>
        <v>-270</v>
      </c>
      <c r="K12" s="16"/>
    </row>
    <row r="13" ht="20.05" customHeight="1">
      <c r="B13" s="30"/>
      <c r="C13" s="15">
        <v>16</v>
      </c>
      <c r="D13" s="16">
        <v>1066</v>
      </c>
      <c r="E13" s="16">
        <f>D13-C13</f>
        <v>1050</v>
      </c>
      <c r="F13" s="16">
        <f>3+300</f>
        <v>303</v>
      </c>
      <c r="G13" s="16">
        <v>367</v>
      </c>
      <c r="H13" s="16">
        <v>699</v>
      </c>
      <c r="I13" s="16">
        <f>G13+H13-C13-E13</f>
        <v>0</v>
      </c>
      <c r="J13" s="16">
        <f>C13-G13</f>
        <v>-351</v>
      </c>
      <c r="K13" s="16"/>
    </row>
    <row r="14" ht="20.05" customHeight="1">
      <c r="B14" s="30"/>
      <c r="C14" s="15">
        <v>17</v>
      </c>
      <c r="D14" s="16">
        <v>1218</v>
      </c>
      <c r="E14" s="16">
        <f>D14-C14</f>
        <v>1201</v>
      </c>
      <c r="F14" s="16">
        <f>4+310</f>
        <v>314</v>
      </c>
      <c r="G14" s="16">
        <v>488</v>
      </c>
      <c r="H14" s="16">
        <v>730</v>
      </c>
      <c r="I14" s="16">
        <f>G14+H14-C14-E14</f>
        <v>0</v>
      </c>
      <c r="J14" s="16">
        <f>C14-G14</f>
        <v>-471</v>
      </c>
      <c r="K14" s="20"/>
    </row>
    <row r="15" ht="20.05" customHeight="1">
      <c r="B15" s="30"/>
      <c r="C15" s="15">
        <v>7</v>
      </c>
      <c r="D15" s="16">
        <v>1245</v>
      </c>
      <c r="E15" s="16">
        <f>D15-C15</f>
        <v>1238</v>
      </c>
      <c r="F15" s="16">
        <f>4+323</f>
        <v>327</v>
      </c>
      <c r="G15" s="16">
        <v>479</v>
      </c>
      <c r="H15" s="16">
        <v>766</v>
      </c>
      <c r="I15" s="16">
        <f>G15+H15-C15-E15</f>
        <v>0</v>
      </c>
      <c r="J15" s="16">
        <f>C15-G15</f>
        <v>-472</v>
      </c>
      <c r="K15" s="20"/>
    </row>
    <row r="16" ht="20.05" customHeight="1">
      <c r="B16" s="31">
        <v>2020</v>
      </c>
      <c r="C16" s="15">
        <v>23</v>
      </c>
      <c r="D16" s="16">
        <v>1326</v>
      </c>
      <c r="E16" s="16">
        <f>D16-C16</f>
        <v>1303</v>
      </c>
      <c r="F16" s="16">
        <f>4+339</f>
        <v>343</v>
      </c>
      <c r="G16" s="16">
        <v>524</v>
      </c>
      <c r="H16" s="16">
        <v>802</v>
      </c>
      <c r="I16" s="16">
        <f>G16+H16-C16-E16</f>
        <v>0</v>
      </c>
      <c r="J16" s="16">
        <f>C16-G16</f>
        <v>-501</v>
      </c>
      <c r="K16" s="20"/>
    </row>
    <row r="17" ht="20.05" customHeight="1">
      <c r="B17" s="30"/>
      <c r="C17" s="15">
        <v>18</v>
      </c>
      <c r="D17" s="16">
        <v>1340</v>
      </c>
      <c r="E17" s="16">
        <f>D17-C17</f>
        <v>1322</v>
      </c>
      <c r="F17" s="16">
        <f>4+356</f>
        <v>360</v>
      </c>
      <c r="G17" s="16">
        <v>512</v>
      </c>
      <c r="H17" s="16">
        <v>828</v>
      </c>
      <c r="I17" s="16">
        <f>G17+H17-C17-E17</f>
        <v>0</v>
      </c>
      <c r="J17" s="16">
        <f>C17-G17</f>
        <v>-494</v>
      </c>
      <c r="K17" s="20"/>
    </row>
    <row r="18" ht="20.05" customHeight="1">
      <c r="B18" s="30"/>
      <c r="C18" s="15">
        <v>14</v>
      </c>
      <c r="D18" s="16">
        <v>1323</v>
      </c>
      <c r="E18" s="16">
        <f>D18-C18</f>
        <v>1309</v>
      </c>
      <c r="F18" s="20">
        <f>4+373</f>
        <v>377</v>
      </c>
      <c r="G18" s="16">
        <v>465</v>
      </c>
      <c r="H18" s="16">
        <v>858</v>
      </c>
      <c r="I18" s="16">
        <f>G18+H18-C18-E18</f>
        <v>0</v>
      </c>
      <c r="J18" s="16">
        <f>C18-G18</f>
        <v>-451</v>
      </c>
      <c r="K18" s="20"/>
    </row>
    <row r="19" ht="20.05" customHeight="1">
      <c r="B19" s="30"/>
      <c r="C19" s="19">
        <v>23</v>
      </c>
      <c r="D19" s="16">
        <v>1311</v>
      </c>
      <c r="E19" s="16">
        <f>D19-C19</f>
        <v>1288</v>
      </c>
      <c r="F19" s="20">
        <f>4+389</f>
        <v>393</v>
      </c>
      <c r="G19" s="16">
        <v>416</v>
      </c>
      <c r="H19" s="16">
        <v>895</v>
      </c>
      <c r="I19" s="16">
        <f>G19+H19-C19-E19</f>
        <v>0</v>
      </c>
      <c r="J19" s="16">
        <f>C19-G19</f>
        <v>-393</v>
      </c>
      <c r="K19" s="20"/>
    </row>
    <row r="20" ht="20.05" customHeight="1">
      <c r="B20" s="31">
        <v>2021</v>
      </c>
      <c r="C20" s="19">
        <v>57</v>
      </c>
      <c r="D20" s="16">
        <v>1369</v>
      </c>
      <c r="E20" s="16">
        <f>D20-C20</f>
        <v>1312</v>
      </c>
      <c r="F20" s="20">
        <f>F19+'Sales'!E24</f>
        <v>415</v>
      </c>
      <c r="G20" s="16">
        <v>431</v>
      </c>
      <c r="H20" s="16">
        <v>938</v>
      </c>
      <c r="I20" s="16">
        <f>G20+H20-C20-E20</f>
        <v>0</v>
      </c>
      <c r="J20" s="16">
        <f>C20-G20</f>
        <v>-374</v>
      </c>
      <c r="K20" s="16"/>
    </row>
    <row r="21" ht="20.05" customHeight="1">
      <c r="B21" s="30"/>
      <c r="C21" s="19">
        <v>91</v>
      </c>
      <c r="D21" s="16">
        <v>1394</v>
      </c>
      <c r="E21" s="16">
        <f>D21-C21</f>
        <v>1303</v>
      </c>
      <c r="F21" s="20">
        <f>5+420</f>
        <v>425</v>
      </c>
      <c r="G21" s="16">
        <v>436</v>
      </c>
      <c r="H21" s="16">
        <v>958</v>
      </c>
      <c r="I21" s="16">
        <f>G21+H21-C21-E21</f>
        <v>0</v>
      </c>
      <c r="J21" s="16">
        <f>C21-G21</f>
        <v>-345</v>
      </c>
      <c r="K21" s="16"/>
    </row>
    <row r="22" ht="20.05" customHeight="1">
      <c r="B22" s="30"/>
      <c r="C22" s="19">
        <v>15</v>
      </c>
      <c r="D22" s="16">
        <v>1355</v>
      </c>
      <c r="E22" s="16">
        <f>D22-C22</f>
        <v>1340</v>
      </c>
      <c r="F22" s="20">
        <f>5+432</f>
        <v>437</v>
      </c>
      <c r="G22" s="16">
        <v>368</v>
      </c>
      <c r="H22" s="16">
        <v>987</v>
      </c>
      <c r="I22" s="16">
        <f>G22+H22-C22-E22</f>
        <v>0</v>
      </c>
      <c r="J22" s="16">
        <f>C22-G22</f>
        <v>-353</v>
      </c>
      <c r="K22" s="16"/>
    </row>
    <row r="23" ht="20.05" customHeight="1">
      <c r="B23" s="30"/>
      <c r="C23" s="19">
        <v>5</v>
      </c>
      <c r="D23" s="16">
        <v>1348</v>
      </c>
      <c r="E23" s="16">
        <f>D23-C23</f>
        <v>1343</v>
      </c>
      <c r="F23" s="20">
        <f>5+447</f>
        <v>452</v>
      </c>
      <c r="G23" s="16">
        <v>347</v>
      </c>
      <c r="H23" s="16">
        <v>1001</v>
      </c>
      <c r="I23" s="16">
        <f>G23+H23-C23-E23</f>
        <v>0</v>
      </c>
      <c r="J23" s="16">
        <f>C23-G23</f>
        <v>-342</v>
      </c>
      <c r="K23" s="16"/>
    </row>
    <row r="24" ht="20.05" customHeight="1">
      <c r="B24" s="31">
        <v>2022</v>
      </c>
      <c r="C24" s="19">
        <v>23</v>
      </c>
      <c r="D24" s="16">
        <v>1433</v>
      </c>
      <c r="E24" s="16">
        <f>D24-C24</f>
        <v>1410</v>
      </c>
      <c r="F24" s="20">
        <f>5+462</f>
        <v>467</v>
      </c>
      <c r="G24" s="16">
        <v>386</v>
      </c>
      <c r="H24" s="16">
        <v>1047</v>
      </c>
      <c r="I24" s="16">
        <f>G24+H24-C24-E24</f>
        <v>0</v>
      </c>
      <c r="J24" s="16">
        <f>C24-G24</f>
        <v>-363</v>
      </c>
      <c r="K24" s="16">
        <v>-258.251763734375</v>
      </c>
    </row>
    <row r="25" ht="20.05" customHeight="1">
      <c r="B25" s="30"/>
      <c r="C25" s="19"/>
      <c r="D25" s="16"/>
      <c r="E25" s="16"/>
      <c r="F25" s="20"/>
      <c r="G25" s="16"/>
      <c r="H25" s="16"/>
      <c r="I25" s="16"/>
      <c r="J25" s="16"/>
      <c r="K25" s="16">
        <f>'Model'!F32</f>
        <v>-291.550498804881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8" customWidth="1"/>
    <col min="2" max="2" width="9.28125" style="38" customWidth="1"/>
    <col min="3" max="5" width="9.13281" style="38" customWidth="1"/>
    <col min="6" max="16384" width="16.3516" style="38" customWidth="1"/>
  </cols>
  <sheetData>
    <row r="1" ht="50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9">
        <v>56</v>
      </c>
      <c r="D3" t="s" s="39">
        <v>38</v>
      </c>
      <c r="E3" t="s" s="39">
        <v>57</v>
      </c>
    </row>
    <row r="4" ht="20.25" customHeight="1">
      <c r="B4" s="26">
        <v>2017</v>
      </c>
      <c r="C4" s="40"/>
      <c r="D4" s="35"/>
      <c r="E4" s="35"/>
    </row>
    <row r="5" ht="20.05" customHeight="1">
      <c r="B5" s="30"/>
      <c r="C5" s="41">
        <v>79</v>
      </c>
      <c r="D5" s="16"/>
      <c r="E5" s="16"/>
    </row>
    <row r="6" ht="20.05" customHeight="1">
      <c r="B6" s="30"/>
      <c r="C6" s="42">
        <v>118</v>
      </c>
      <c r="D6" s="16"/>
      <c r="E6" s="16"/>
    </row>
    <row r="7" ht="20.05" customHeight="1">
      <c r="B7" s="30"/>
      <c r="C7" s="42">
        <v>151</v>
      </c>
      <c r="D7" s="16"/>
      <c r="E7" s="16"/>
    </row>
    <row r="8" ht="20.05" customHeight="1">
      <c r="B8" s="31">
        <v>2018</v>
      </c>
      <c r="C8" s="42">
        <v>217</v>
      </c>
      <c r="D8" s="16"/>
      <c r="E8" s="16"/>
    </row>
    <row r="9" ht="20.05" customHeight="1">
      <c r="B9" s="30"/>
      <c r="C9" s="42">
        <v>254</v>
      </c>
      <c r="D9" s="16"/>
      <c r="E9" s="16"/>
    </row>
    <row r="10" ht="20.05" customHeight="1">
      <c r="B10" s="30"/>
      <c r="C10" s="42">
        <v>270</v>
      </c>
      <c r="D10" s="21"/>
      <c r="E10" s="21"/>
    </row>
    <row r="11" ht="20.05" customHeight="1">
      <c r="B11" s="30"/>
      <c r="C11" s="42">
        <v>284</v>
      </c>
      <c r="D11" s="21"/>
      <c r="E11" s="21"/>
    </row>
    <row r="12" ht="20.05" customHeight="1">
      <c r="B12" s="31">
        <v>2019</v>
      </c>
      <c r="C12" s="42">
        <v>276</v>
      </c>
      <c r="D12" s="21"/>
      <c r="E12" s="21"/>
    </row>
    <row r="13" ht="20.05" customHeight="1">
      <c r="B13" s="30"/>
      <c r="C13" s="42">
        <v>388</v>
      </c>
      <c r="D13" s="21"/>
      <c r="E13" s="21"/>
    </row>
    <row r="14" ht="20.05" customHeight="1">
      <c r="B14" s="30"/>
      <c r="C14" s="42">
        <v>540</v>
      </c>
      <c r="D14" s="21"/>
      <c r="E14" s="21"/>
    </row>
    <row r="15" ht="20.05" customHeight="1">
      <c r="B15" s="30"/>
      <c r="C15" s="42">
        <v>505</v>
      </c>
      <c r="D15" s="21"/>
      <c r="E15" s="21"/>
    </row>
    <row r="16" ht="20.05" customHeight="1">
      <c r="B16" s="31">
        <v>2020</v>
      </c>
      <c r="C16" s="42">
        <v>372</v>
      </c>
      <c r="D16" s="21"/>
      <c r="E16" s="21"/>
    </row>
    <row r="17" ht="20.05" customHeight="1">
      <c r="B17" s="30"/>
      <c r="C17" s="42">
        <v>466</v>
      </c>
      <c r="D17" s="21"/>
      <c r="E17" s="21"/>
    </row>
    <row r="18" ht="20.05" customHeight="1">
      <c r="B18" s="30"/>
      <c r="C18" s="15">
        <v>446</v>
      </c>
      <c r="D18" s="21"/>
      <c r="E18" s="21"/>
    </row>
    <row r="19" ht="20.05" customHeight="1">
      <c r="B19" s="30"/>
      <c r="C19" s="15">
        <v>500</v>
      </c>
      <c r="D19" s="21"/>
      <c r="E19" s="21"/>
    </row>
    <row r="20" ht="20.05" customHeight="1">
      <c r="B20" s="31">
        <v>2021</v>
      </c>
      <c r="C20" s="43">
        <v>457.444427</v>
      </c>
      <c r="D20" s="21"/>
      <c r="E20" s="21"/>
    </row>
    <row r="21" ht="20.05" customHeight="1">
      <c r="B21" s="30"/>
      <c r="C21" s="43">
        <v>414</v>
      </c>
      <c r="D21" s="21"/>
      <c r="E21" s="21"/>
    </row>
    <row r="22" ht="20.05" customHeight="1">
      <c r="B22" s="30"/>
      <c r="C22" s="43">
        <v>456</v>
      </c>
      <c r="D22" s="21"/>
      <c r="E22" s="21"/>
    </row>
    <row r="23" ht="20.05" customHeight="1">
      <c r="B23" s="30"/>
      <c r="C23" s="43">
        <v>470</v>
      </c>
      <c r="D23" s="20">
        <v>533.125598356305</v>
      </c>
      <c r="E23" s="21"/>
    </row>
    <row r="24" ht="20.05" customHeight="1">
      <c r="B24" s="31">
        <v>2022</v>
      </c>
      <c r="C24" s="43">
        <v>434</v>
      </c>
      <c r="D24" s="20">
        <v>549</v>
      </c>
      <c r="E24" s="21"/>
    </row>
    <row r="25" ht="20.05" customHeight="1">
      <c r="B25" s="30"/>
      <c r="C25" s="43">
        <v>428</v>
      </c>
      <c r="D25" s="20">
        <v>370.600034312125</v>
      </c>
      <c r="E25" s="21"/>
    </row>
    <row r="26" ht="20.05" customHeight="1">
      <c r="B26" s="30"/>
      <c r="C26" s="43"/>
      <c r="D26" s="20">
        <f>'Model'!F45</f>
        <v>371.040607371937</v>
      </c>
      <c r="E26" s="2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