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s 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<sst xmlns="http://schemas.openxmlformats.org/spreadsheetml/2006/main" uniqueCount="58">
  <si>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</si>
  <si>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</si>
  <si>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</si>
  <si>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>Cash flow</t>
  </si>
  <si>
    <t>Growth</t>
  </si>
  <si>
    <t>Sales</t>
  </si>
  <si>
    <t>Cost ratio</t>
  </si>
  <si>
    <t xml:space="preserve">Cash cost 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</si>
  <si>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</si>
  <si>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</si>
  <si>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</si>
  <si>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</si>
  <si>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</si>
  <si>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</si>
  <si>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</si>
  <si>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</si>
  <si>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</si>
  <si>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</si>
  <si>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</si>
  <si>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</si>
  <si>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</si>
  <si>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</si>
  <si>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</si>
  <si>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</si>
  <si>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</si>
  <si>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</si>
  <si>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</si>
  <si>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</si>
  <si>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</si>
  <si>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</si>
  <si>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</si>
  <si>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</si>
  <si>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</si>
  <si>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</si>
  <si>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</si>
  <si>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</si>
  <si>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</si>
  <si>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</si>
  <si>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</si>
  <si>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</si>
  <si>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</si>
  <si>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</si>
  <si>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</si>
  <si>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Net profit</t>
  </si>
  <si>
    <t xml:space="preserve">Sales growth </t>
  </si>
  <si>
    <t xml:space="preserve">Cost ratio </t>
  </si>
  <si>
    <t>Cashflow costs</t>
  </si>
  <si>
    <t xml:space="preserve">Receipts </t>
  </si>
  <si>
    <t>Interest</t>
  </si>
  <si>
    <t xml:space="preserve">Operating </t>
  </si>
  <si>
    <t xml:space="preserve">Investment </t>
  </si>
  <si>
    <t xml:space="preserve">Free cashflow </t>
  </si>
  <si>
    <t xml:space="preserve">Cash </t>
  </si>
  <si>
    <t>Assets</t>
  </si>
  <si>
    <t>Check</t>
  </si>
  <si>
    <t xml:space="preserve">Net cash </t>
  </si>
  <si>
    <t>Share price</t>
  </si>
  <si>
    <t>CEKA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</si>
</sst>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606291</xdr:colOff>
      <xdr:row>2</xdr:row>
      <xdr:rowOff>104457</xdr:rowOff>
    </xdr:from>
    <xdr:to>
      <xdr:col>13</xdr:col>
      <xdr:colOff>404092</xdr:colOff>
      <xdr:row>46</xdr:row>
      <xdr:rowOff>137288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40191" y="929957"/>
          <a:ext cx="8510002" cy="112653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5781" style="1" customWidth="1"/>
    <col min="2" max="2" width="14.7656" style="1" customWidth="1"/>
    <col min="3" max="6" width="9.39844" style="1" customWidth="1"/>
    <col min="7" max="16384" width="16.3516" style="1" customWidth="1"/>
  </cols>
  <sheetData>
    <row r="1" ht="37.3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s="4"/>
      <c r="F3" t="s" s="5">
        <v>2</v>
      </c>
    </row>
    <row r="4" ht="20.3" customHeight="1">
      <c r="B4" t="s" s="6">
        <v>3</v>
      </c>
      <c r="C4" s="7">
        <f>AVERAGE('Sales'!G28:G31)</f>
        <v>0.107354110657853</v>
      </c>
      <c r="D4" s="8"/>
      <c r="E4" s="8"/>
      <c r="F4" s="9">
        <f>AVERAGE(C5:F5)</f>
        <v>0.015</v>
      </c>
    </row>
    <row r="5" ht="20.1" customHeight="1">
      <c r="B5" t="s" s="10">
        <v>4</v>
      </c>
      <c r="C5" s="11">
        <v>-0.01</v>
      </c>
      <c r="D5" s="12">
        <v>0.03</v>
      </c>
      <c r="E5" s="12">
        <v>0.02</v>
      </c>
      <c r="F5" s="12">
        <v>0.02</v>
      </c>
    </row>
    <row r="6" ht="20.1" customHeight="1">
      <c r="B6" t="s" s="10">
        <v>5</v>
      </c>
      <c r="C6" s="13">
        <f>'Sales'!C31*(1+C5)</f>
        <v>1654.191</v>
      </c>
      <c r="D6" s="14">
        <f>C6*(1+D5)</f>
        <v>1703.81673</v>
      </c>
      <c r="E6" s="14">
        <f>D6*(1+E5)</f>
        <v>1737.8930646</v>
      </c>
      <c r="F6" s="14">
        <f>E6*(1+F5)</f>
        <v>1772.650925892</v>
      </c>
    </row>
    <row r="7" ht="20.1" customHeight="1">
      <c r="B7" t="s" s="10">
        <v>6</v>
      </c>
      <c r="C7" s="15">
        <f>AVERAGE('Sales'!I31)</f>
        <v>-0.960224656079412</v>
      </c>
      <c r="D7" s="16">
        <f>C7</f>
        <v>-0.960224656079412</v>
      </c>
      <c r="E7" s="16">
        <f>D7</f>
        <v>-0.960224656079412</v>
      </c>
      <c r="F7" s="16">
        <f>E7</f>
        <v>-0.960224656079412</v>
      </c>
    </row>
    <row r="8" ht="20.1" customHeight="1">
      <c r="B8" t="s" s="10">
        <v>7</v>
      </c>
      <c r="C8" s="17">
        <f>C7*C6</f>
        <v>-1588.394984064660</v>
      </c>
      <c r="D8" s="18">
        <f>D7*D6</f>
        <v>-1636.0468335866</v>
      </c>
      <c r="E8" s="18">
        <f>E7*E6</f>
        <v>-1668.767770258330</v>
      </c>
      <c r="F8" s="18">
        <f>F7*F6</f>
        <v>-1702.1431256635</v>
      </c>
    </row>
    <row r="9" ht="20.1" customHeight="1">
      <c r="B9" t="s" s="10">
        <v>8</v>
      </c>
      <c r="C9" s="17">
        <f>C6+C8</f>
        <v>65.79601593533999</v>
      </c>
      <c r="D9" s="18">
        <f>D6+D8</f>
        <v>67.76989641340001</v>
      </c>
      <c r="E9" s="18">
        <f>E6+E8</f>
        <v>69.125294341670</v>
      </c>
      <c r="F9" s="18">
        <f>F6+F8</f>
        <v>70.5078002285</v>
      </c>
    </row>
    <row r="10" ht="20.05" customHeight="1">
      <c r="B10" t="s" s="10">
        <v>9</v>
      </c>
      <c r="C10" s="17">
        <f>AVERAGE('Cashflow'!F27)</f>
        <v>-12</v>
      </c>
      <c r="D10" s="18">
        <f>C10</f>
        <v>-12</v>
      </c>
      <c r="E10" s="18">
        <f>D10</f>
        <v>-12</v>
      </c>
      <c r="F10" s="18">
        <f>E10</f>
        <v>-12</v>
      </c>
    </row>
    <row r="11" ht="20.1" customHeight="1">
      <c r="B11" t="s" s="10">
        <v>10</v>
      </c>
      <c r="C11" s="17">
        <f>C12+C13+C15</f>
        <v>-53.796015935340</v>
      </c>
      <c r="D11" s="18">
        <f>D12+D13+D15</f>
        <v>-55.7698964134</v>
      </c>
      <c r="E11" s="18">
        <f>E12+E13+E15</f>
        <v>-57.125294341670</v>
      </c>
      <c r="F11" s="18">
        <f>F12+F13+F15</f>
        <v>-58.5078002285</v>
      </c>
    </row>
    <row r="12" ht="20.1" customHeight="1">
      <c r="B12" t="s" s="10">
        <v>11</v>
      </c>
      <c r="C12" s="17">
        <f>-('Balance sheets '!G26)/20</f>
        <v>-15.5</v>
      </c>
      <c r="D12" s="18">
        <f>-C26/20</f>
        <v>-14.725</v>
      </c>
      <c r="E12" s="18">
        <f>-D26/20</f>
        <v>-13.98875</v>
      </c>
      <c r="F12" s="18">
        <f>-E26/20</f>
        <v>-13.2893125</v>
      </c>
    </row>
    <row r="13" ht="20.1" customHeight="1">
      <c r="B13" t="s" s="10">
        <v>12</v>
      </c>
      <c r="C13" s="17">
        <f>IF(C21&gt;0,-C21*0.8,0)</f>
        <v>-47.636812748272</v>
      </c>
      <c r="D13" s="18">
        <f>IF(D21&gt;0,-D21*0.8,0)</f>
        <v>-49.215917130720</v>
      </c>
      <c r="E13" s="18">
        <f>IF(E21&gt;0,-E21*0.8,0)</f>
        <v>-50.300235473336</v>
      </c>
      <c r="F13" s="18">
        <f>IF(F21&gt;0,-F21*0.8,0)</f>
        <v>-51.4062401828</v>
      </c>
    </row>
    <row r="14" ht="20.05" customHeight="1">
      <c r="B14" t="s" s="10">
        <v>13</v>
      </c>
      <c r="C14" s="17">
        <f>C9+C10+C12+C13</f>
        <v>-9.340796812932</v>
      </c>
      <c r="D14" s="18">
        <f>D9+D10+D12+D13</f>
        <v>-8.171020717319999</v>
      </c>
      <c r="E14" s="18">
        <f>E9+E10+E12+E13</f>
        <v>-7.163691131666</v>
      </c>
      <c r="F14" s="18">
        <f>F9+F10+F12+F13</f>
        <v>-6.1877524543</v>
      </c>
    </row>
    <row r="15" ht="20.1" customHeight="1">
      <c r="B15" t="s" s="10">
        <v>14</v>
      </c>
      <c r="C15" s="17">
        <f>-MIN(0,C14)</f>
        <v>9.340796812932</v>
      </c>
      <c r="D15" s="18">
        <f>-MIN(C27,D14)</f>
        <v>8.171020717319999</v>
      </c>
      <c r="E15" s="18">
        <f>-MIN(D27,E14)</f>
        <v>7.163691131666</v>
      </c>
      <c r="F15" s="18">
        <f>-MIN(E27,F14)</f>
        <v>6.1877524543</v>
      </c>
    </row>
    <row r="16" ht="20.1" customHeight="1">
      <c r="B16" t="s" s="10">
        <v>15</v>
      </c>
      <c r="C16" s="17">
        <f>'Balance sheets '!C26</f>
        <v>234.499</v>
      </c>
      <c r="D16" s="18">
        <f>C18</f>
        <v>234.499</v>
      </c>
      <c r="E16" s="18">
        <f>D18</f>
        <v>234.499</v>
      </c>
      <c r="F16" s="18">
        <f>E18</f>
        <v>234.499</v>
      </c>
    </row>
    <row r="17" ht="20.1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1" customHeight="1">
      <c r="B18" t="s" s="10">
        <v>17</v>
      </c>
      <c r="C18" s="17">
        <f>C16+C17</f>
        <v>234.499</v>
      </c>
      <c r="D18" s="18">
        <f>D16+D17</f>
        <v>234.499</v>
      </c>
      <c r="E18" s="18">
        <f>E16+E17</f>
        <v>234.499</v>
      </c>
      <c r="F18" s="18">
        <f>F16+F17</f>
        <v>234.499</v>
      </c>
    </row>
    <row r="19" ht="20.1" customHeight="1">
      <c r="B19" t="s" s="19">
        <v>18</v>
      </c>
      <c r="C19" s="20"/>
      <c r="D19" s="21"/>
      <c r="E19" s="21"/>
      <c r="F19" s="22"/>
    </row>
    <row r="20" ht="20.1" customHeight="1">
      <c r="B20" t="s" s="10">
        <v>19</v>
      </c>
      <c r="C20" s="17">
        <f>-AVERAGE('Sales'!E31)</f>
        <v>-6.25</v>
      </c>
      <c r="D20" s="18">
        <f>C20</f>
        <v>-6.25</v>
      </c>
      <c r="E20" s="18">
        <f>D20</f>
        <v>-6.25</v>
      </c>
      <c r="F20" s="18">
        <f>E20</f>
        <v>-6.25</v>
      </c>
    </row>
    <row r="21" ht="20.1" customHeight="1">
      <c r="B21" t="s" s="10">
        <v>20</v>
      </c>
      <c r="C21" s="17">
        <f>C6+C8+C20</f>
        <v>59.546015935340</v>
      </c>
      <c r="D21" s="18">
        <f>D6+D8+D20</f>
        <v>61.5198964134</v>
      </c>
      <c r="E21" s="18">
        <f>E6+E8+E20</f>
        <v>62.875294341670</v>
      </c>
      <c r="F21" s="18">
        <f>F6+F8+F20</f>
        <v>64.2578002285</v>
      </c>
    </row>
    <row r="22" ht="20.1" customHeight="1">
      <c r="B22" t="s" s="19">
        <v>21</v>
      </c>
      <c r="C22" s="20"/>
      <c r="D22" s="21"/>
      <c r="E22" s="21"/>
      <c r="F22" s="18"/>
    </row>
    <row r="23" ht="20.1" customHeight="1">
      <c r="B23" t="s" s="10">
        <v>22</v>
      </c>
      <c r="C23" s="17">
        <f>'Balance sheets '!E26+'Balance sheets '!F26-C10</f>
        <v>1775.751</v>
      </c>
      <c r="D23" s="18">
        <f>C23-D10</f>
        <v>1787.751</v>
      </c>
      <c r="E23" s="18">
        <f>D23-E10</f>
        <v>1799.751</v>
      </c>
      <c r="F23" s="18">
        <f>E23-F10</f>
        <v>1811.751</v>
      </c>
    </row>
    <row r="24" ht="20.1" customHeight="1">
      <c r="B24" t="s" s="10">
        <v>23</v>
      </c>
      <c r="C24" s="17">
        <f>'Balance sheets '!F26-C20</f>
        <v>307.5</v>
      </c>
      <c r="D24" s="18">
        <f>C24-D20</f>
        <v>313.75</v>
      </c>
      <c r="E24" s="18">
        <f>D24-E20</f>
        <v>320</v>
      </c>
      <c r="F24" s="18">
        <f>E24-F20</f>
        <v>326.25</v>
      </c>
    </row>
    <row r="25" ht="20.1" customHeight="1">
      <c r="B25" t="s" s="10">
        <v>24</v>
      </c>
      <c r="C25" s="17">
        <f>C23-C24</f>
        <v>1468.251</v>
      </c>
      <c r="D25" s="18">
        <f>D23-D24</f>
        <v>1474.001</v>
      </c>
      <c r="E25" s="18">
        <f>E23-E24</f>
        <v>1479.751</v>
      </c>
      <c r="F25" s="18">
        <f>F23-F24</f>
        <v>1485.501</v>
      </c>
    </row>
    <row r="26" ht="20.1" customHeight="1">
      <c r="B26" t="s" s="10">
        <v>11</v>
      </c>
      <c r="C26" s="17">
        <f>'Balance sheets '!G26+C12</f>
        <v>294.5</v>
      </c>
      <c r="D26" s="18">
        <f>C26+D12</f>
        <v>279.775</v>
      </c>
      <c r="E26" s="18">
        <f>D26+E12</f>
        <v>265.78625</v>
      </c>
      <c r="F26" s="18">
        <f>E26+F12</f>
        <v>252.4969375</v>
      </c>
    </row>
    <row r="27" ht="20.1" customHeight="1">
      <c r="B27" t="s" s="10">
        <v>14</v>
      </c>
      <c r="C27" s="17">
        <f>C15</f>
        <v>9.340796812932</v>
      </c>
      <c r="D27" s="18">
        <f>C27+D15</f>
        <v>17.511817530252</v>
      </c>
      <c r="E27" s="18">
        <f>D27+E15</f>
        <v>24.675508661918</v>
      </c>
      <c r="F27" s="18">
        <f>E27+F15</f>
        <v>30.863261116218</v>
      </c>
    </row>
    <row r="28" ht="20.1" customHeight="1">
      <c r="B28" t="s" s="10">
        <v>25</v>
      </c>
      <c r="C28" s="17">
        <f>'Balance sheets '!H26+C21+C13</f>
        <v>1398.909203187070</v>
      </c>
      <c r="D28" s="18">
        <f>C28+D21+D13</f>
        <v>1411.213182469750</v>
      </c>
      <c r="E28" s="18">
        <f>D28+E21+E13</f>
        <v>1423.788241338080</v>
      </c>
      <c r="F28" s="18">
        <f>E28+F21+F13</f>
        <v>1436.639801383780</v>
      </c>
    </row>
    <row r="29" ht="20.1" customHeight="1">
      <c r="B29" t="s" s="10">
        <v>26</v>
      </c>
      <c r="C29" s="17">
        <f>C26+C27+C28-C18-C25</f>
        <v>2e-12</v>
      </c>
      <c r="D29" s="18">
        <f>D26+D27+D28-D18-D25</f>
        <v>2e-12</v>
      </c>
      <c r="E29" s="18">
        <f>E26+E27+E28-E18-E25</f>
        <v>-2e-12</v>
      </c>
      <c r="F29" s="18">
        <f>F26+F27+F28-F18-F25</f>
        <v>-2e-12</v>
      </c>
    </row>
    <row r="30" ht="20.1" customHeight="1">
      <c r="B30" t="s" s="10">
        <v>27</v>
      </c>
      <c r="C30" s="17">
        <f>C18-C26-C27</f>
        <v>-69.341796812932</v>
      </c>
      <c r="D30" s="18">
        <f>D18-D26-D27</f>
        <v>-62.787817530252</v>
      </c>
      <c r="E30" s="18">
        <f>E18-E26-E27</f>
        <v>-55.962758661918</v>
      </c>
      <c r="F30" s="18">
        <f>F18-F26-F27</f>
        <v>-48.861198616218</v>
      </c>
    </row>
    <row r="31" ht="20.1" customHeight="1">
      <c r="B31" t="s" s="19">
        <v>28</v>
      </c>
      <c r="C31" s="17"/>
      <c r="D31" s="18"/>
      <c r="E31" s="18"/>
      <c r="F31" s="18"/>
    </row>
    <row r="32" ht="20.1" customHeight="1">
      <c r="B32" t="s" s="10">
        <v>29</v>
      </c>
      <c r="C32" s="17">
        <f>'Cashflow'!M27-C11</f>
        <v>1022.677015935340</v>
      </c>
      <c r="D32" s="18">
        <f>C32-D11</f>
        <v>1078.446912348740</v>
      </c>
      <c r="E32" s="18">
        <f>D32-E11</f>
        <v>1135.572206690410</v>
      </c>
      <c r="F32" s="18">
        <f>E32-F11</f>
        <v>1194.080006918910</v>
      </c>
    </row>
    <row r="33" ht="20.1" customHeight="1">
      <c r="B33" t="s" s="10">
        <v>30</v>
      </c>
      <c r="C33" s="17"/>
      <c r="D33" s="18"/>
      <c r="E33" s="18"/>
      <c r="F33" s="18">
        <v>1106700000000</v>
      </c>
    </row>
    <row r="34" ht="20.1" customHeight="1">
      <c r="B34" t="s" s="10">
        <v>30</v>
      </c>
      <c r="C34" s="17"/>
      <c r="D34" s="18"/>
      <c r="E34" s="18"/>
      <c r="F34" s="18">
        <f>F33/1000000000</f>
        <v>1106.7</v>
      </c>
    </row>
    <row r="35" ht="20.1" customHeight="1">
      <c r="B35" t="s" s="10">
        <v>31</v>
      </c>
      <c r="C35" s="17"/>
      <c r="D35" s="18"/>
      <c r="E35" s="18"/>
      <c r="F35" s="23">
        <f>F34/(F18+F25)</f>
        <v>0.64343023255814</v>
      </c>
    </row>
    <row r="36" ht="20.1" customHeight="1">
      <c r="B36" t="s" s="10">
        <v>32</v>
      </c>
      <c r="C36" s="17"/>
      <c r="D36" s="18"/>
      <c r="E36" s="18"/>
      <c r="F36" s="16">
        <f>-(C13+D13+E13+F13)/F34</f>
        <v>0.179415564773767</v>
      </c>
    </row>
    <row r="37" ht="20.1" customHeight="1">
      <c r="B37" t="s" s="10">
        <v>33</v>
      </c>
      <c r="C37" s="17"/>
      <c r="D37" s="18"/>
      <c r="E37" s="18"/>
      <c r="F37" s="18">
        <f>SUM(C9:F10)</f>
        <v>225.199006918910</v>
      </c>
    </row>
    <row r="38" ht="20.1" customHeight="1">
      <c r="B38" t="s" s="10">
        <v>34</v>
      </c>
      <c r="C38" s="17"/>
      <c r="D38" s="18"/>
      <c r="E38" s="18"/>
      <c r="F38" s="18">
        <f>'Balance sheets '!E26/F37</f>
        <v>6.4942604321813</v>
      </c>
    </row>
    <row r="39" ht="20.1" customHeight="1">
      <c r="B39" t="s" s="10">
        <v>28</v>
      </c>
      <c r="C39" s="17"/>
      <c r="D39" s="18"/>
      <c r="E39" s="18"/>
      <c r="F39" s="18">
        <f>F34/F37</f>
        <v>4.91432007246152</v>
      </c>
    </row>
    <row r="40" ht="20.1" customHeight="1">
      <c r="B40" t="s" s="10">
        <v>35</v>
      </c>
      <c r="C40" s="17"/>
      <c r="D40" s="18"/>
      <c r="E40" s="18"/>
      <c r="F40" s="18">
        <v>9</v>
      </c>
    </row>
    <row r="41" ht="20.1" customHeight="1">
      <c r="B41" t="s" s="10">
        <v>36</v>
      </c>
      <c r="C41" s="17"/>
      <c r="D41" s="18"/>
      <c r="E41" s="18"/>
      <c r="F41" s="18">
        <f>F37*F40</f>
        <v>2026.791062270190</v>
      </c>
    </row>
    <row r="42" ht="20.1" customHeight="1">
      <c r="B42" t="s" s="10">
        <v>37</v>
      </c>
      <c r="C42" s="17"/>
      <c r="D42" s="18"/>
      <c r="E42" s="18"/>
      <c r="F42" s="24">
        <f>F34/F44</f>
        <v>0.595</v>
      </c>
    </row>
    <row r="43" ht="20.1" customHeight="1">
      <c r="B43" t="s" s="10">
        <v>38</v>
      </c>
      <c r="C43" s="17"/>
      <c r="D43" s="18"/>
      <c r="E43" s="18"/>
      <c r="F43" s="18">
        <f>F41/F42</f>
        <v>3406.371533227210</v>
      </c>
    </row>
    <row r="44" ht="20.1" customHeight="1">
      <c r="B44" t="s" s="10">
        <v>39</v>
      </c>
      <c r="C44" s="17"/>
      <c r="D44" s="18"/>
      <c r="E44" s="18"/>
      <c r="F44" s="18">
        <v>1860</v>
      </c>
    </row>
    <row r="45" ht="20.1" customHeight="1">
      <c r="B45" t="s" s="10">
        <v>40</v>
      </c>
      <c r="C45" s="17"/>
      <c r="D45" s="18"/>
      <c r="E45" s="18"/>
      <c r="F45" s="16">
        <f>F43/F44-1</f>
        <v>0.831382544745812</v>
      </c>
    </row>
    <row r="46" ht="20.1" customHeight="1">
      <c r="B46" t="s" s="10">
        <v>41</v>
      </c>
      <c r="C46" s="17"/>
      <c r="D46" s="18"/>
      <c r="E46" s="18"/>
      <c r="F46" s="16">
        <f>'Sales'!C31/'Sales'!C27-1</f>
        <v>0.4861691719292</v>
      </c>
    </row>
    <row r="47" ht="20.1" customHeight="1">
      <c r="B47" t="s" s="10">
        <v>42</v>
      </c>
      <c r="C47" s="17"/>
      <c r="D47" s="18"/>
      <c r="E47" s="18"/>
      <c r="F47" s="16">
        <f>('Sales'!D24+'Sales'!D31+'Sales'!D25+'Sales'!D26+'Sales'!D27+'Sales'!D28+'Sales'!D29+'Sales'!D30)/('Sales'!C24+'Sales'!C25+'Sales'!C26+'Sales'!C27+'Sales'!C28+'Sales'!C29+'Sales'!C31+'Sales'!C30)-1</f>
        <v>-0.0340570091067795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44531" style="25" customWidth="1"/>
    <col min="2" max="2" width="9.85938" style="25" customWidth="1"/>
    <col min="3" max="3" width="9.625" style="25" customWidth="1"/>
    <col min="4" max="5" width="11.9297" style="25" customWidth="1"/>
    <col min="6" max="11" width="9.625" style="25" customWidth="1"/>
    <col min="12" max="16384" width="16.3516" style="25" customWidth="1"/>
  </cols>
  <sheetData>
    <row r="1" ht="25.8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35</v>
      </c>
      <c r="E3" t="s" s="5">
        <v>23</v>
      </c>
      <c r="F3" t="s" s="5">
        <v>43</v>
      </c>
      <c r="G3" t="s" s="5">
        <v>44</v>
      </c>
      <c r="H3" t="s" s="5">
        <v>45</v>
      </c>
      <c r="I3" t="s" s="5">
        <v>45</v>
      </c>
      <c r="J3" t="s" s="5">
        <v>35</v>
      </c>
      <c r="K3" t="s" s="5">
        <v>46</v>
      </c>
    </row>
    <row r="4" ht="20.25" customHeight="1">
      <c r="B4" s="26">
        <v>2015</v>
      </c>
      <c r="C4" s="27">
        <v>875</v>
      </c>
      <c r="D4" s="8"/>
      <c r="E4" s="28">
        <v>0</v>
      </c>
      <c r="F4" s="28">
        <v>24</v>
      </c>
      <c r="G4" s="9"/>
      <c r="H4" s="29">
        <f>(E4+F4-C4)/C4</f>
        <v>-0.972571428571429</v>
      </c>
      <c r="I4" s="29"/>
      <c r="J4" s="29"/>
      <c r="K4" s="29"/>
    </row>
    <row r="5" ht="20.05" customHeight="1">
      <c r="B5" s="30"/>
      <c r="C5" s="13">
        <v>935</v>
      </c>
      <c r="D5" s="22"/>
      <c r="E5" s="14">
        <v>0</v>
      </c>
      <c r="F5" s="14">
        <v>28</v>
      </c>
      <c r="G5" s="16">
        <f>C5/C4-1</f>
        <v>0.0685714285714286</v>
      </c>
      <c r="H5" s="16">
        <f>(E5+F5-C5)/C5</f>
        <v>-0.970053475935829</v>
      </c>
      <c r="I5" s="16"/>
      <c r="J5" s="16"/>
      <c r="K5" s="16"/>
    </row>
    <row r="6" ht="20.05" customHeight="1">
      <c r="B6" s="30"/>
      <c r="C6" s="13">
        <v>873</v>
      </c>
      <c r="D6" s="22"/>
      <c r="E6" s="14">
        <v>0</v>
      </c>
      <c r="F6" s="14">
        <v>20</v>
      </c>
      <c r="G6" s="16">
        <f>C6/C5-1</f>
        <v>-0.0663101604278075</v>
      </c>
      <c r="H6" s="16">
        <f>(E6+F6-C6)/C6</f>
        <v>-0.9770904925544101</v>
      </c>
      <c r="I6" s="16"/>
      <c r="J6" s="16"/>
      <c r="K6" s="16"/>
    </row>
    <row r="7" ht="20.05" customHeight="1">
      <c r="B7" s="30"/>
      <c r="C7" s="13">
        <v>803</v>
      </c>
      <c r="D7" s="22"/>
      <c r="E7" s="14">
        <v>20</v>
      </c>
      <c r="F7" s="14">
        <v>35</v>
      </c>
      <c r="G7" s="16">
        <f>C7/C6-1</f>
        <v>-0.0801832760595647</v>
      </c>
      <c r="H7" s="16">
        <f>(E7+F7-C7)/C7</f>
        <v>-0.931506849315068</v>
      </c>
      <c r="I7" s="16"/>
      <c r="J7" s="16"/>
      <c r="K7" s="16"/>
    </row>
    <row r="8" ht="20.05" customHeight="1">
      <c r="B8" s="31">
        <v>2016</v>
      </c>
      <c r="C8" s="13">
        <v>919</v>
      </c>
      <c r="D8" s="22"/>
      <c r="E8" s="14">
        <v>5</v>
      </c>
      <c r="F8" s="14">
        <v>76</v>
      </c>
      <c r="G8" s="16">
        <f>C8/C7-1</f>
        <v>0.144458281444583</v>
      </c>
      <c r="H8" s="16">
        <f>(E8+F8-C8)/C8</f>
        <v>-0.911860718171926</v>
      </c>
      <c r="I8" s="16"/>
      <c r="J8" s="16"/>
      <c r="K8" s="16">
        <f>('Cashflow'!E4+'Cashflow'!D4-'Cashflow'!C4)/'Cashflow'!C4</f>
        <v>-0.9606138107416879</v>
      </c>
    </row>
    <row r="9" ht="20.05" customHeight="1">
      <c r="B9" s="30"/>
      <c r="C9" s="13">
        <v>1018</v>
      </c>
      <c r="D9" s="22"/>
      <c r="E9" s="14">
        <v>6</v>
      </c>
      <c r="F9" s="14">
        <v>59</v>
      </c>
      <c r="G9" s="16">
        <f>C9/C8-1</f>
        <v>0.107725788900979</v>
      </c>
      <c r="H9" s="16">
        <f>(E9+F9-C9)/C9</f>
        <v>-0.93614931237721</v>
      </c>
      <c r="I9" s="16"/>
      <c r="J9" s="16"/>
      <c r="K9" s="16">
        <f>('Cashflow'!E5+'Cashflow'!D5-'Cashflow'!C5)/'Cashflow'!C5</f>
        <v>-0.929395604395604</v>
      </c>
    </row>
    <row r="10" ht="20.05" customHeight="1">
      <c r="B10" s="30"/>
      <c r="C10" s="13">
        <v>990</v>
      </c>
      <c r="D10" s="22"/>
      <c r="E10" s="14">
        <v>5</v>
      </c>
      <c r="F10" s="14">
        <v>81</v>
      </c>
      <c r="G10" s="16">
        <f>C10/C9-1</f>
        <v>-0.0275049115913556</v>
      </c>
      <c r="H10" s="16">
        <f>(E10+F10-C10)/C10</f>
        <v>-0.913131313131313</v>
      </c>
      <c r="I10" s="16"/>
      <c r="J10" s="16"/>
      <c r="K10" s="16">
        <f>('Cashflow'!E6+'Cashflow'!D6-'Cashflow'!C6)/'Cashflow'!C6</f>
        <v>-0.919029495718363</v>
      </c>
    </row>
    <row r="11" ht="20.05" customHeight="1">
      <c r="B11" s="30"/>
      <c r="C11" s="13">
        <v>1189</v>
      </c>
      <c r="D11" s="22"/>
      <c r="E11" s="14">
        <v>6</v>
      </c>
      <c r="F11" s="14">
        <v>34</v>
      </c>
      <c r="G11" s="16">
        <f>C11/C10-1</f>
        <v>0.201010101010101</v>
      </c>
      <c r="H11" s="16">
        <f>(E11+F11-C11)/C11</f>
        <v>-0.966358284272498</v>
      </c>
      <c r="I11" s="16"/>
      <c r="J11" s="16"/>
      <c r="K11" s="16">
        <f>('Cashflow'!E7+'Cashflow'!D7-'Cashflow'!C7)/'Cashflow'!C7</f>
        <v>-1.05117085862966</v>
      </c>
    </row>
    <row r="12" ht="20.05" customHeight="1">
      <c r="B12" s="31">
        <v>2017</v>
      </c>
      <c r="C12" s="13">
        <v>1236</v>
      </c>
      <c r="D12" s="22"/>
      <c r="E12" s="14">
        <v>6</v>
      </c>
      <c r="F12" s="14">
        <v>36</v>
      </c>
      <c r="G12" s="16">
        <f>C12/C11-1</f>
        <v>0.039529015979815</v>
      </c>
      <c r="H12" s="16">
        <f>(E12+F12-C12)/C12</f>
        <v>-0.9660194174757279</v>
      </c>
      <c r="I12" s="16">
        <f>AVERAGE(H9:H12)</f>
        <v>-0.945414581814187</v>
      </c>
      <c r="J12" s="16"/>
      <c r="K12" s="16">
        <f>('Cashflow'!E8+'Cashflow'!D8-'Cashflow'!C8)/'Cashflow'!C8</f>
        <v>-0.814122448979592</v>
      </c>
    </row>
    <row r="13" ht="20.05" customHeight="1">
      <c r="B13" s="30"/>
      <c r="C13" s="13">
        <v>887</v>
      </c>
      <c r="D13" s="22"/>
      <c r="E13" s="14">
        <v>6</v>
      </c>
      <c r="F13" s="14">
        <v>0</v>
      </c>
      <c r="G13" s="16">
        <f>C13/C12-1</f>
        <v>-0.282362459546926</v>
      </c>
      <c r="H13" s="16">
        <f>(E13+F13-C13)/C13</f>
        <v>-0.993235625704622</v>
      </c>
      <c r="I13" s="16">
        <f>AVERAGE(H10:H13)</f>
        <v>-0.95968616014604</v>
      </c>
      <c r="J13" s="16"/>
      <c r="K13" s="16">
        <f>('Cashflow'!E9+'Cashflow'!D9-'Cashflow'!C9)/'Cashflow'!C9</f>
        <v>-1.14186851211073</v>
      </c>
    </row>
    <row r="14" ht="20.05" customHeight="1">
      <c r="B14" s="30"/>
      <c r="C14" s="13">
        <v>1010</v>
      </c>
      <c r="D14" s="22"/>
      <c r="E14" s="14">
        <v>6</v>
      </c>
      <c r="F14" s="14">
        <v>39</v>
      </c>
      <c r="G14" s="16">
        <f>C14/C13-1</f>
        <v>0.138669673055242</v>
      </c>
      <c r="H14" s="16">
        <f>(E14+F14-C14)/C14</f>
        <v>-0.955445544554455</v>
      </c>
      <c r="I14" s="16">
        <f>AVERAGE(H11:H14)</f>
        <v>-0.970264718001826</v>
      </c>
      <c r="J14" s="16"/>
      <c r="K14" s="16">
        <f>('Cashflow'!E10+'Cashflow'!D10-'Cashflow'!C10)/'Cashflow'!C10</f>
        <v>-0.9469928644240569</v>
      </c>
    </row>
    <row r="15" ht="20.05" customHeight="1">
      <c r="B15" s="30"/>
      <c r="C15" s="13">
        <v>1125</v>
      </c>
      <c r="D15" s="22"/>
      <c r="E15" s="14">
        <v>6</v>
      </c>
      <c r="F15" s="14">
        <v>32</v>
      </c>
      <c r="G15" s="16">
        <f>C15/C14-1</f>
        <v>0.113861386138614</v>
      </c>
      <c r="H15" s="16">
        <f>(E15+F15-C15)/C15</f>
        <v>-0.966222222222222</v>
      </c>
      <c r="I15" s="16">
        <f>AVERAGE(H12:H15)</f>
        <v>-0.970230702489257</v>
      </c>
      <c r="J15" s="16"/>
      <c r="K15" s="16">
        <f>('Cashflow'!E11+'Cashflow'!D11-'Cashflow'!C11)/'Cashflow'!C11</f>
        <v>-0.971077184054283</v>
      </c>
    </row>
    <row r="16" ht="20.05" customHeight="1">
      <c r="B16" s="31">
        <v>2018</v>
      </c>
      <c r="C16" s="13">
        <v>970</v>
      </c>
      <c r="D16" s="22"/>
      <c r="E16" s="14">
        <v>6</v>
      </c>
      <c r="F16" s="14">
        <v>16</v>
      </c>
      <c r="G16" s="16">
        <f>C16/C15-1</f>
        <v>-0.137777777777778</v>
      </c>
      <c r="H16" s="16">
        <f>(E16+F16-C16)/C16</f>
        <v>-0.9773195876288659</v>
      </c>
      <c r="I16" s="16">
        <f>AVERAGE(H13:H16)</f>
        <v>-0.973055745027541</v>
      </c>
      <c r="J16" s="16"/>
      <c r="K16" s="16">
        <f>('Cashflow'!E12+'Cashflow'!D12-'Cashflow'!C12)/'Cashflow'!C12</f>
        <v>-0.992976588628763</v>
      </c>
    </row>
    <row r="17" ht="20.05" customHeight="1">
      <c r="B17" s="30"/>
      <c r="C17" s="13">
        <v>926</v>
      </c>
      <c r="D17" s="22"/>
      <c r="E17" s="14">
        <v>6</v>
      </c>
      <c r="F17" s="14">
        <v>5</v>
      </c>
      <c r="G17" s="16">
        <f>C17/C16-1</f>
        <v>-0.045360824742268</v>
      </c>
      <c r="H17" s="16">
        <f>(E17+F17-C17)/C17</f>
        <v>-0.988120950323974</v>
      </c>
      <c r="I17" s="16">
        <f>AVERAGE(H14:H17)</f>
        <v>-0.971777076182379</v>
      </c>
      <c r="J17" s="16"/>
      <c r="K17" s="16">
        <f>('Cashflow'!E13+'Cashflow'!D13-'Cashflow'!C13)/'Cashflow'!C13</f>
        <v>-0.9553</v>
      </c>
    </row>
    <row r="18" ht="20.05" customHeight="1">
      <c r="B18" s="30"/>
      <c r="C18" s="13">
        <v>876</v>
      </c>
      <c r="D18" s="22"/>
      <c r="E18" s="14">
        <v>6.3</v>
      </c>
      <c r="F18" s="14">
        <v>20</v>
      </c>
      <c r="G18" s="16">
        <f>C18/C17-1</f>
        <v>-0.0539956803455724</v>
      </c>
      <c r="H18" s="16">
        <f>(E18+F18-C18)/C18</f>
        <v>-0.969977168949772</v>
      </c>
      <c r="I18" s="16">
        <f>AVERAGE(H15:H18)</f>
        <v>-0.975409982281209</v>
      </c>
      <c r="J18" s="16"/>
      <c r="K18" s="16">
        <f>('Cashflow'!E14+'Cashflow'!D14-'Cashflow'!C14)/'Cashflow'!C14</f>
        <v>-0.854113924050633</v>
      </c>
    </row>
    <row r="19" ht="20.05" customHeight="1">
      <c r="B19" s="30"/>
      <c r="C19" s="13">
        <v>857</v>
      </c>
      <c r="D19" s="22"/>
      <c r="E19" s="14">
        <v>6</v>
      </c>
      <c r="F19" s="14">
        <v>52</v>
      </c>
      <c r="G19" s="16">
        <f>C19/C18-1</f>
        <v>-0.021689497716895</v>
      </c>
      <c r="H19" s="16">
        <f>(E19+F19-C19)/C19</f>
        <v>-0.932322053675613</v>
      </c>
      <c r="I19" s="16">
        <f>AVERAGE(H16:H19)</f>
        <v>-0.9669349401445561</v>
      </c>
      <c r="J19" s="16"/>
      <c r="K19" s="16">
        <f>('Cashflow'!E15+'Cashflow'!D15-'Cashflow'!C15)/'Cashflow'!C15</f>
        <v>-0.894050632911392</v>
      </c>
    </row>
    <row r="20" ht="20.05" customHeight="1">
      <c r="B20" s="31">
        <v>2019</v>
      </c>
      <c r="C20" s="13">
        <v>737</v>
      </c>
      <c r="D20" s="22"/>
      <c r="E20" s="14">
        <v>5.9</v>
      </c>
      <c r="F20" s="14">
        <v>59</v>
      </c>
      <c r="G20" s="16">
        <f>C20/C19-1</f>
        <v>-0.14002333722287</v>
      </c>
      <c r="H20" s="16">
        <f>(E20+F20-C20)/C20</f>
        <v>-0.9119402985074631</v>
      </c>
      <c r="I20" s="16">
        <f>AVERAGE(H17:H20)</f>
        <v>-0.950590117864206</v>
      </c>
      <c r="J20" s="16"/>
      <c r="K20" s="16">
        <f>('Cashflow'!E16+'Cashflow'!D16-'Cashflow'!C16)/'Cashflow'!C16</f>
        <v>-0.820419947506562</v>
      </c>
    </row>
    <row r="21" ht="20.05" customHeight="1">
      <c r="B21" s="30"/>
      <c r="C21" s="13">
        <v>771</v>
      </c>
      <c r="D21" s="22"/>
      <c r="E21" s="14">
        <v>5.9</v>
      </c>
      <c r="F21" s="14">
        <v>33</v>
      </c>
      <c r="G21" s="16">
        <f>C21/C20-1</f>
        <v>0.0461329715061058</v>
      </c>
      <c r="H21" s="16">
        <f>(E21+F21-C21)/C21</f>
        <v>-0.949546044098573</v>
      </c>
      <c r="I21" s="16">
        <f>AVERAGE(H18:H21)</f>
        <v>-0.940946391307855</v>
      </c>
      <c r="J21" s="16"/>
      <c r="K21" s="16">
        <f>('Cashflow'!E17+'Cashflow'!D17-'Cashflow'!C17)/'Cashflow'!C17</f>
        <v>-0.952612612612613</v>
      </c>
    </row>
    <row r="22" ht="20.05" customHeight="1">
      <c r="B22" s="30"/>
      <c r="C22" s="13">
        <v>739</v>
      </c>
      <c r="D22" s="22"/>
      <c r="E22" s="14">
        <v>6.2</v>
      </c>
      <c r="F22" s="14">
        <v>39</v>
      </c>
      <c r="G22" s="16">
        <f>C22/C21-1</f>
        <v>-0.0415045395590143</v>
      </c>
      <c r="H22" s="16">
        <f>(E22+F22-C22)/C22</f>
        <v>-0.938836265223275</v>
      </c>
      <c r="I22" s="16">
        <f>AVERAGE(H19:H22)</f>
        <v>-0.9331611653762309</v>
      </c>
      <c r="J22" s="16"/>
      <c r="K22" s="16">
        <f>('Cashflow'!E18+'Cashflow'!D18-'Cashflow'!C18)/'Cashflow'!C18</f>
        <v>-0.771383561643836</v>
      </c>
    </row>
    <row r="23" ht="20.05" customHeight="1">
      <c r="B23" s="30"/>
      <c r="C23" s="13">
        <v>873.9</v>
      </c>
      <c r="D23" s="22"/>
      <c r="E23" s="14">
        <v>5</v>
      </c>
      <c r="F23" s="14">
        <v>84.45</v>
      </c>
      <c r="G23" s="16">
        <f>C23/C22-1</f>
        <v>0.18254397834912</v>
      </c>
      <c r="H23" s="16">
        <f>(E23+F23-C23)/C23</f>
        <v>-0.897642750886829</v>
      </c>
      <c r="I23" s="16">
        <f>AVERAGE(H20:H23)</f>
        <v>-0.924491339679035</v>
      </c>
      <c r="J23" s="16"/>
      <c r="K23" s="16">
        <f>('Cashflow'!E19+'Cashflow'!D19-'Cashflow'!C19)/'Cashflow'!C19</f>
        <v>-0.855367741935484</v>
      </c>
    </row>
    <row r="24" ht="20.05" customHeight="1">
      <c r="B24" s="31">
        <v>2020</v>
      </c>
      <c r="C24" s="13">
        <v>915.789</v>
      </c>
      <c r="D24" s="14">
        <v>839.86</v>
      </c>
      <c r="E24" s="14">
        <v>5.8</v>
      </c>
      <c r="F24" s="14">
        <v>66.3</v>
      </c>
      <c r="G24" s="16">
        <f>C24/C23-1</f>
        <v>0.0479334019910745</v>
      </c>
      <c r="H24" s="16">
        <f>(E24+F24-C24)/C24</f>
        <v>-0.9212700742201529</v>
      </c>
      <c r="I24" s="16">
        <f>AVERAGE(H21:H24)</f>
        <v>-0.926823783607208</v>
      </c>
      <c r="J24" s="16"/>
      <c r="K24" s="16">
        <f>('Cashflow'!E20+'Cashflow'!D20-'Cashflow'!C20)/'Cashflow'!C20</f>
        <v>-0.836475177304965</v>
      </c>
    </row>
    <row r="25" ht="20.05" customHeight="1">
      <c r="B25" s="30"/>
      <c r="C25" s="13">
        <v>724.211</v>
      </c>
      <c r="D25" s="14">
        <v>810.7</v>
      </c>
      <c r="E25" s="14">
        <v>5.95</v>
      </c>
      <c r="F25" s="14">
        <v>0.7</v>
      </c>
      <c r="G25" s="16">
        <f>C25/C24-1</f>
        <v>-0.209194476020131</v>
      </c>
      <c r="H25" s="16">
        <f>(E25+F25-C25)/C25</f>
        <v>-0.990817593215237</v>
      </c>
      <c r="I25" s="16">
        <f>AVERAGE(H22:H25)</f>
        <v>-0.937141670886374</v>
      </c>
      <c r="J25" s="16"/>
      <c r="K25" s="16">
        <f>('Cashflow'!E21+'Cashflow'!D21-'Cashflow'!C21)/'Cashflow'!C21</f>
        <v>-1.0081102661597</v>
      </c>
    </row>
    <row r="26" ht="20.05" customHeight="1">
      <c r="B26" s="30"/>
      <c r="C26" s="13">
        <f>2510-C25-C24</f>
        <v>870</v>
      </c>
      <c r="D26" s="21">
        <v>775.95</v>
      </c>
      <c r="E26" s="14">
        <f>14+1.3+2-E25-E24</f>
        <v>5.55</v>
      </c>
      <c r="F26" s="14">
        <f>115-F25-F24</f>
        <v>48</v>
      </c>
      <c r="G26" s="16">
        <f>C26/C25-1</f>
        <v>0.201307353796062</v>
      </c>
      <c r="H26" s="16">
        <f>(E26+F26-C26)/C26</f>
        <v>-0.938448275862069</v>
      </c>
      <c r="I26" s="16">
        <f>AVERAGE(H23:H26)</f>
        <v>-0.937044673546072</v>
      </c>
      <c r="J26" s="16"/>
      <c r="K26" s="16">
        <f>('Cashflow'!E22+'Cashflow'!D22-'Cashflow'!C22)/'Cashflow'!C22</f>
        <v>-1.05125</v>
      </c>
    </row>
    <row r="27" ht="20.05" customHeight="1">
      <c r="B27" s="30"/>
      <c r="C27" s="13">
        <v>1124.3</v>
      </c>
      <c r="D27" s="21">
        <v>948.3</v>
      </c>
      <c r="E27" s="14">
        <f>24.5-SUM(E24:E26)</f>
        <v>7.2</v>
      </c>
      <c r="F27" s="14">
        <f>181.8-SUM(F24:F26)</f>
        <v>66.8</v>
      </c>
      <c r="G27" s="16">
        <f>C27/C26-1</f>
        <v>0.292298850574713</v>
      </c>
      <c r="H27" s="16">
        <f>(E27+F27-C27)/C27</f>
        <v>-0.934181268344748</v>
      </c>
      <c r="I27" s="16">
        <f>AVERAGE(H24:H27)</f>
        <v>-0.946179302910552</v>
      </c>
      <c r="J27" s="16"/>
      <c r="K27" s="16">
        <f>('Cashflow'!E23+'Cashflow'!D23-'Cashflow'!C23)/'Cashflow'!C23</f>
        <v>-0.9428065095846651</v>
      </c>
    </row>
    <row r="28" ht="20.05" customHeight="1">
      <c r="B28" s="31">
        <v>2021</v>
      </c>
      <c r="C28" s="13">
        <f>1105.6</f>
        <v>1105.6</v>
      </c>
      <c r="D28" s="14">
        <v>1113.057</v>
      </c>
      <c r="E28" s="18">
        <v>6.25</v>
      </c>
      <c r="F28" s="18">
        <f>49.1</f>
        <v>49.1</v>
      </c>
      <c r="G28" s="16">
        <f>C28/C27-1</f>
        <v>-0.0166325713777462</v>
      </c>
      <c r="H28" s="16">
        <f>(E28+F28-C28)/C28</f>
        <v>-0.949936685962373</v>
      </c>
      <c r="I28" s="16">
        <f>AVERAGE(H25:H28)</f>
        <v>-0.953345955846107</v>
      </c>
      <c r="J28" s="16"/>
      <c r="K28" s="16">
        <f>('Cashflow'!E24+'Cashflow'!D24-'Cashflow'!C24)/'Cashflow'!C24</f>
        <v>-1.08588749372175</v>
      </c>
    </row>
    <row r="29" ht="20.05" customHeight="1">
      <c r="B29" s="30"/>
      <c r="C29" s="13">
        <v>1203.4</v>
      </c>
      <c r="D29" s="14">
        <v>1215.434</v>
      </c>
      <c r="E29" s="32">
        <v>6.25</v>
      </c>
      <c r="F29" s="18">
        <v>26.9</v>
      </c>
      <c r="G29" s="16">
        <f>C29/C28-1</f>
        <v>0.0884587554269175</v>
      </c>
      <c r="H29" s="16">
        <f>(E29+F29-C29)/C29</f>
        <v>-0.972453049692538</v>
      </c>
      <c r="I29" s="16">
        <f>AVERAGE(H26:H29)</f>
        <v>-0.948754819965432</v>
      </c>
      <c r="J29" s="16"/>
      <c r="K29" s="16">
        <f>('Cashflow'!E25+'Cashflow'!D25-'Cashflow'!C25)/'Cashflow'!C25</f>
        <v>-0.9836447318372</v>
      </c>
    </row>
    <row r="30" ht="20.05" customHeight="1">
      <c r="B30" s="30"/>
      <c r="C30" s="13">
        <f>3688.1-SUM(C28:C29)</f>
        <v>1379.1</v>
      </c>
      <c r="D30" s="14">
        <v>1397.7491</v>
      </c>
      <c r="E30" s="32">
        <v>6.25</v>
      </c>
      <c r="F30" s="18">
        <f>129.6-SUM(F28:F29)</f>
        <v>53.6</v>
      </c>
      <c r="G30" s="16">
        <f>C30/C29-1</f>
        <v>0.146002991524015</v>
      </c>
      <c r="H30" s="16">
        <f>(E30+F30-C30)/C30</f>
        <v>-0.956602131825103</v>
      </c>
      <c r="I30" s="16">
        <f>AVERAGE(H27:H30)</f>
        <v>-0.953293283956191</v>
      </c>
      <c r="J30" s="16"/>
      <c r="K30" s="16">
        <f>('Cashflow'!E26+'Cashflow'!D26-'Cashflow'!C26)/'Cashflow'!C26</f>
        <v>-0.963874711760184</v>
      </c>
    </row>
    <row r="31" ht="20.05" customHeight="1">
      <c r="B31" s="30"/>
      <c r="C31" s="13">
        <f>5359-C30-C29-C28</f>
        <v>1670.9</v>
      </c>
      <c r="D31" s="14">
        <v>1585.965</v>
      </c>
      <c r="E31" s="32">
        <v>6.25</v>
      </c>
      <c r="F31" s="14">
        <f>187-F30-F29-F28</f>
        <v>57.4</v>
      </c>
      <c r="G31" s="16">
        <f>C31/C30-1</f>
        <v>0.211587267058226</v>
      </c>
      <c r="H31" s="16">
        <f>(E31+F31-C31)/C31</f>
        <v>-0.961906756837632</v>
      </c>
      <c r="I31" s="16">
        <f>AVERAGE(H28:H31)</f>
        <v>-0.960224656079412</v>
      </c>
      <c r="J31" s="16">
        <f>I31</f>
        <v>-0.960224656079412</v>
      </c>
      <c r="K31" s="16">
        <f>('Cashflow'!E27+'Cashflow'!D27-'Cashflow'!C27)/'Cashflow'!C27</f>
        <v>-1.04565012254902</v>
      </c>
    </row>
    <row r="32" ht="20.05" customHeight="1">
      <c r="B32" s="31">
        <v>2022</v>
      </c>
      <c r="C32" s="13"/>
      <c r="D32" s="14">
        <f>'Model'!C6</f>
        <v>1654.191</v>
      </c>
      <c r="E32" s="22"/>
      <c r="F32" s="22"/>
      <c r="G32" s="12"/>
      <c r="H32" s="12"/>
      <c r="I32" s="12"/>
      <c r="J32" s="12">
        <f>'Model'!C7</f>
        <v>-0.960224656079412</v>
      </c>
      <c r="K32" s="22"/>
    </row>
    <row r="33" ht="20.05" customHeight="1">
      <c r="B33" s="30"/>
      <c r="C33" s="13"/>
      <c r="D33" s="14">
        <f>'Model'!D6</f>
        <v>1703.81673</v>
      </c>
      <c r="E33" s="22"/>
      <c r="F33" s="22"/>
      <c r="G33" s="12"/>
      <c r="H33" s="12"/>
      <c r="I33" s="16"/>
      <c r="J33" s="16"/>
      <c r="K33" s="16"/>
    </row>
    <row r="34" ht="20.05" customHeight="1">
      <c r="B34" s="30"/>
      <c r="C34" s="13"/>
      <c r="D34" s="14">
        <f>'Model'!E6</f>
        <v>1737.8930646</v>
      </c>
      <c r="E34" s="22"/>
      <c r="F34" s="22"/>
      <c r="G34" s="12"/>
      <c r="H34" s="12"/>
      <c r="I34" s="16"/>
      <c r="J34" s="16"/>
      <c r="K34" s="16"/>
    </row>
    <row r="35" ht="20.05" customHeight="1">
      <c r="B35" s="30"/>
      <c r="C35" s="13"/>
      <c r="D35" s="14">
        <f>'Model'!F6</f>
        <v>1772.650925892</v>
      </c>
      <c r="E35" s="22"/>
      <c r="F35" s="22"/>
      <c r="G35" s="12"/>
      <c r="H35" s="12"/>
      <c r="I35" s="16"/>
      <c r="J35" s="16"/>
      <c r="K35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875" style="33" customWidth="1"/>
    <col min="2" max="2" width="7.94531" style="33" customWidth="1"/>
    <col min="3" max="15" width="10.3516" style="33" customWidth="1"/>
    <col min="16" max="16384" width="16.3516" style="33" customWidth="1"/>
  </cols>
  <sheetData>
    <row r="1" ht="61.1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50</v>
      </c>
      <c r="G3" t="s" s="5">
        <v>11</v>
      </c>
      <c r="H3" t="s" s="5">
        <v>25</v>
      </c>
      <c r="I3" t="s" s="5">
        <v>10</v>
      </c>
      <c r="J3" t="s" s="5">
        <v>51</v>
      </c>
      <c r="K3" t="s" s="5">
        <v>33</v>
      </c>
      <c r="L3" t="s" s="5">
        <v>35</v>
      </c>
      <c r="M3" t="s" s="5">
        <v>29</v>
      </c>
      <c r="N3" t="s" s="5">
        <v>35</v>
      </c>
      <c r="O3" s="34"/>
    </row>
    <row r="4" ht="20.25" customHeight="1">
      <c r="B4" s="26">
        <v>2016</v>
      </c>
      <c r="C4" s="35">
        <v>782</v>
      </c>
      <c r="D4" s="36">
        <v>-10.2</v>
      </c>
      <c r="E4" s="36">
        <v>41</v>
      </c>
      <c r="F4" s="36">
        <v>234</v>
      </c>
      <c r="G4" s="36"/>
      <c r="H4" s="36"/>
      <c r="I4" s="36">
        <v>-255</v>
      </c>
      <c r="J4" s="36">
        <f>E4+D4+F4</f>
        <v>264.8</v>
      </c>
      <c r="K4" s="37"/>
      <c r="L4" s="36"/>
      <c r="M4" s="36">
        <f>-I4-D4</f>
        <v>265.2</v>
      </c>
      <c r="N4" s="36"/>
      <c r="O4" s="36">
        <v>1</v>
      </c>
    </row>
    <row r="5" ht="20.05" customHeight="1">
      <c r="B5" s="30"/>
      <c r="C5" s="17">
        <v>1092</v>
      </c>
      <c r="D5" s="18">
        <v>-13.9</v>
      </c>
      <c r="E5" s="18">
        <v>91</v>
      </c>
      <c r="F5" s="18">
        <v>-30</v>
      </c>
      <c r="G5" s="18"/>
      <c r="H5" s="18"/>
      <c r="I5" s="18">
        <v>-64</v>
      </c>
      <c r="J5" s="18">
        <f>E5+D5+F5</f>
        <v>47.1</v>
      </c>
      <c r="K5" s="21"/>
      <c r="L5" s="18"/>
      <c r="M5" s="18">
        <f>-(I5-D5)+M4</f>
        <v>315.3</v>
      </c>
      <c r="N5" s="18"/>
      <c r="O5" s="18">
        <f>1+O4</f>
        <v>2</v>
      </c>
    </row>
    <row r="6" ht="20.05" customHeight="1">
      <c r="B6" s="30"/>
      <c r="C6" s="17">
        <v>1051</v>
      </c>
      <c r="D6" s="18">
        <v>-6.9</v>
      </c>
      <c r="E6" s="18">
        <v>92</v>
      </c>
      <c r="F6" s="18">
        <v>-50</v>
      </c>
      <c r="G6" s="18"/>
      <c r="H6" s="18"/>
      <c r="I6" s="18">
        <v>-57</v>
      </c>
      <c r="J6" s="18">
        <f>E6+D6+F6</f>
        <v>35.1</v>
      </c>
      <c r="K6" s="21"/>
      <c r="L6" s="18"/>
      <c r="M6" s="18">
        <f>-(I6-D6)+M5</f>
        <v>365.4</v>
      </c>
      <c r="N6" s="18"/>
      <c r="O6" s="18">
        <f>1+O5</f>
        <v>3</v>
      </c>
    </row>
    <row r="7" ht="20.05" customHeight="1">
      <c r="B7" s="30"/>
      <c r="C7" s="17">
        <v>1153</v>
      </c>
      <c r="D7" s="18">
        <v>-11</v>
      </c>
      <c r="E7" s="18">
        <v>-48</v>
      </c>
      <c r="F7" s="18">
        <v>70</v>
      </c>
      <c r="G7" s="18"/>
      <c r="H7" s="18"/>
      <c r="I7" s="18">
        <v>-11</v>
      </c>
      <c r="J7" s="18">
        <f>E7+D7+F7</f>
        <v>11</v>
      </c>
      <c r="K7" s="21"/>
      <c r="L7" s="18"/>
      <c r="M7" s="18">
        <f>-(I7-D7)+M6</f>
        <v>365.4</v>
      </c>
      <c r="N7" s="18"/>
      <c r="O7" s="18">
        <f>1+O6</f>
        <v>4</v>
      </c>
    </row>
    <row r="8" ht="20.05" customHeight="1">
      <c r="B8" s="31">
        <v>2017</v>
      </c>
      <c r="C8" s="17">
        <v>1225</v>
      </c>
      <c r="D8" s="18">
        <v>-6.3</v>
      </c>
      <c r="E8" s="18">
        <v>234</v>
      </c>
      <c r="F8" s="18">
        <v>-7</v>
      </c>
      <c r="G8" s="18"/>
      <c r="H8" s="18"/>
      <c r="I8" s="18">
        <v>-201</v>
      </c>
      <c r="J8" s="18">
        <f>E8+D8+F8</f>
        <v>220.7</v>
      </c>
      <c r="K8" s="32">
        <f>AVERAGE(J5:J8)</f>
        <v>78.47499999999999</v>
      </c>
      <c r="L8" s="18"/>
      <c r="M8" s="18">
        <f>-(I8-D8)+M7</f>
        <v>560.1</v>
      </c>
      <c r="N8" s="18"/>
      <c r="O8" s="18">
        <f>1+O7</f>
        <v>5</v>
      </c>
    </row>
    <row r="9" ht="20.05" customHeight="1">
      <c r="B9" s="30"/>
      <c r="C9" s="17">
        <v>867</v>
      </c>
      <c r="D9" s="18">
        <v>-2</v>
      </c>
      <c r="E9" s="18">
        <v>-121</v>
      </c>
      <c r="F9" s="18">
        <v>-3</v>
      </c>
      <c r="G9" s="18"/>
      <c r="H9" s="18"/>
      <c r="I9" s="18">
        <v>79</v>
      </c>
      <c r="J9" s="18">
        <f>E9+D9+F9</f>
        <v>-126</v>
      </c>
      <c r="K9" s="32">
        <f>AVERAGE(J6:J9)</f>
        <v>35.2</v>
      </c>
      <c r="L9" s="18"/>
      <c r="M9" s="18">
        <f>-(I9-D9)+M8</f>
        <v>479.1</v>
      </c>
      <c r="N9" s="18"/>
      <c r="O9" s="18">
        <f>1+O8</f>
        <v>6</v>
      </c>
    </row>
    <row r="10" ht="20.05" customHeight="1">
      <c r="B10" s="30"/>
      <c r="C10" s="17">
        <v>981</v>
      </c>
      <c r="D10" s="18">
        <v>-5</v>
      </c>
      <c r="E10" s="18">
        <v>57</v>
      </c>
      <c r="F10" s="18">
        <v>-4</v>
      </c>
      <c r="G10" s="18"/>
      <c r="H10" s="18"/>
      <c r="I10" s="18">
        <v>-45</v>
      </c>
      <c r="J10" s="18">
        <f>E10+D10+F10</f>
        <v>48</v>
      </c>
      <c r="K10" s="32">
        <f>AVERAGE(J7:J10)</f>
        <v>38.425</v>
      </c>
      <c r="L10" s="18"/>
      <c r="M10" s="18">
        <f>-(I10-D10)+M9</f>
        <v>519.1</v>
      </c>
      <c r="N10" s="18"/>
      <c r="O10" s="18">
        <f>1+O9</f>
        <v>7</v>
      </c>
    </row>
    <row r="11" ht="20.05" customHeight="1">
      <c r="B11" s="30"/>
      <c r="C11" s="17">
        <v>1179</v>
      </c>
      <c r="D11" s="18">
        <v>-4.9</v>
      </c>
      <c r="E11" s="18">
        <v>39</v>
      </c>
      <c r="F11" s="18">
        <v>-43</v>
      </c>
      <c r="G11" s="18"/>
      <c r="H11" s="18"/>
      <c r="I11" s="18">
        <v>7</v>
      </c>
      <c r="J11" s="18">
        <f>E11+D11+F11</f>
        <v>-8.9</v>
      </c>
      <c r="K11" s="32">
        <f>AVERAGE(J8:J11)</f>
        <v>33.45</v>
      </c>
      <c r="L11" s="18"/>
      <c r="M11" s="18">
        <f>-(I11-D11)+M10</f>
        <v>507.2</v>
      </c>
      <c r="N11" s="18"/>
      <c r="O11" s="18">
        <f>1+O10</f>
        <v>8</v>
      </c>
    </row>
    <row r="12" ht="20.05" customHeight="1">
      <c r="B12" s="31">
        <v>2018</v>
      </c>
      <c r="C12" s="17">
        <v>897</v>
      </c>
      <c r="D12" s="18">
        <v>-4.7</v>
      </c>
      <c r="E12" s="18">
        <v>11</v>
      </c>
      <c r="F12" s="18">
        <v>-50</v>
      </c>
      <c r="G12" s="18"/>
      <c r="H12" s="18"/>
      <c r="I12" s="18">
        <v>39</v>
      </c>
      <c r="J12" s="18">
        <f>E12+D12+F12</f>
        <v>-43.7</v>
      </c>
      <c r="K12" s="32">
        <f>AVERAGE(J9:J12)</f>
        <v>-32.65</v>
      </c>
      <c r="L12" s="18"/>
      <c r="M12" s="18">
        <f>-(I12-D12)+M11</f>
        <v>463.5</v>
      </c>
      <c r="N12" s="18"/>
      <c r="O12" s="18">
        <f>1+O11</f>
        <v>9</v>
      </c>
    </row>
    <row r="13" ht="20.05" customHeight="1">
      <c r="B13" s="30"/>
      <c r="C13" s="17">
        <v>1000</v>
      </c>
      <c r="D13" s="18">
        <v>-4.3</v>
      </c>
      <c r="E13" s="18">
        <v>49</v>
      </c>
      <c r="F13" s="18">
        <v>43</v>
      </c>
      <c r="G13" s="18"/>
      <c r="H13" s="18"/>
      <c r="I13" s="18">
        <v>-87</v>
      </c>
      <c r="J13" s="18">
        <f>E13+D13+F13</f>
        <v>87.7</v>
      </c>
      <c r="K13" s="32">
        <f>AVERAGE(J10:J13)</f>
        <v>20.775</v>
      </c>
      <c r="L13" s="18"/>
      <c r="M13" s="18">
        <f>-(I13-D13)+M12</f>
        <v>546.2</v>
      </c>
      <c r="N13" s="18"/>
      <c r="O13" s="18">
        <f>1+O12</f>
        <v>10</v>
      </c>
    </row>
    <row r="14" ht="20.05" customHeight="1">
      <c r="B14" s="30"/>
      <c r="C14" s="17">
        <v>948</v>
      </c>
      <c r="D14" s="18">
        <v>-3.7</v>
      </c>
      <c r="E14" s="18">
        <v>142</v>
      </c>
      <c r="F14" s="18">
        <v>-1</v>
      </c>
      <c r="G14" s="18"/>
      <c r="H14" s="18"/>
      <c r="I14" s="18">
        <v>-138</v>
      </c>
      <c r="J14" s="18">
        <f>E14+D14+F14</f>
        <v>137.3</v>
      </c>
      <c r="K14" s="32">
        <f>AVERAGE(J11:J14)</f>
        <v>43.1</v>
      </c>
      <c r="L14" s="18"/>
      <c r="M14" s="18">
        <f>-(I14-D14)+M13</f>
        <v>680.5</v>
      </c>
      <c r="N14" s="18"/>
      <c r="O14" s="18">
        <f>1+O13</f>
        <v>11</v>
      </c>
    </row>
    <row r="15" ht="20.05" customHeight="1">
      <c r="B15" s="30"/>
      <c r="C15" s="17">
        <v>790</v>
      </c>
      <c r="D15" s="18">
        <v>-1.3</v>
      </c>
      <c r="E15" s="18">
        <v>85</v>
      </c>
      <c r="F15" s="18">
        <v>-3</v>
      </c>
      <c r="G15" s="18"/>
      <c r="H15" s="18"/>
      <c r="I15" s="18">
        <v>-102</v>
      </c>
      <c r="J15" s="18">
        <f>E15+D15+F15</f>
        <v>80.7</v>
      </c>
      <c r="K15" s="32">
        <f>AVERAGE(J12:J15)</f>
        <v>65.5</v>
      </c>
      <c r="L15" s="18"/>
      <c r="M15" s="18">
        <f>-(I15-D15)+M14</f>
        <v>781.2</v>
      </c>
      <c r="N15" s="18"/>
      <c r="O15" s="18">
        <f>1+O14</f>
        <v>12</v>
      </c>
    </row>
    <row r="16" ht="20.05" customHeight="1">
      <c r="B16" s="31">
        <v>2019</v>
      </c>
      <c r="C16" s="17">
        <v>762</v>
      </c>
      <c r="D16" s="18">
        <v>-0.16</v>
      </c>
      <c r="E16" s="18">
        <v>137</v>
      </c>
      <c r="F16" s="18">
        <v>-3</v>
      </c>
      <c r="G16" s="18"/>
      <c r="H16" s="18"/>
      <c r="I16" s="18">
        <v>-10</v>
      </c>
      <c r="J16" s="18">
        <f>E16+D16+F16</f>
        <v>133.84</v>
      </c>
      <c r="K16" s="32">
        <f>AVERAGE(J13:J16)</f>
        <v>109.885</v>
      </c>
      <c r="L16" s="18"/>
      <c r="M16" s="18">
        <f>-(I16-D16)+M15</f>
        <v>791.04</v>
      </c>
      <c r="N16" s="18"/>
      <c r="O16" s="18">
        <f>1+O15</f>
        <v>13</v>
      </c>
    </row>
    <row r="17" ht="20.05" customHeight="1">
      <c r="B17" s="30"/>
      <c r="C17" s="17">
        <v>777</v>
      </c>
      <c r="D17" s="18">
        <v>-0.18</v>
      </c>
      <c r="E17" s="18">
        <v>37</v>
      </c>
      <c r="F17" s="18">
        <v>-5</v>
      </c>
      <c r="G17" s="18"/>
      <c r="H17" s="18"/>
      <c r="I17" s="18">
        <v>0</v>
      </c>
      <c r="J17" s="18">
        <f>E17+D17+F17</f>
        <v>31.82</v>
      </c>
      <c r="K17" s="32">
        <f>AVERAGE(J14:J17)</f>
        <v>95.91500000000001</v>
      </c>
      <c r="L17" s="18"/>
      <c r="M17" s="18">
        <f>-(I17-D17)+M16</f>
        <v>790.86</v>
      </c>
      <c r="N17" s="18"/>
      <c r="O17" s="18">
        <f>1+O16</f>
        <v>14</v>
      </c>
    </row>
    <row r="18" ht="20.05" customHeight="1">
      <c r="B18" s="30"/>
      <c r="C18" s="17">
        <v>730</v>
      </c>
      <c r="D18" s="18">
        <v>-0.11</v>
      </c>
      <c r="E18" s="18">
        <v>167</v>
      </c>
      <c r="F18" s="18">
        <v>-4</v>
      </c>
      <c r="G18" s="18"/>
      <c r="H18" s="18"/>
      <c r="I18" s="18">
        <v>-44</v>
      </c>
      <c r="J18" s="18">
        <f>E18+D18+F18</f>
        <v>162.89</v>
      </c>
      <c r="K18" s="32">
        <f>AVERAGE(J15:J18)</f>
        <v>102.3125</v>
      </c>
      <c r="L18" s="18"/>
      <c r="M18" s="18">
        <f>-(I18-D18)+M17</f>
        <v>834.75</v>
      </c>
      <c r="N18" s="18"/>
      <c r="O18" s="18">
        <f>1+O17</f>
        <v>15</v>
      </c>
    </row>
    <row r="19" ht="20.05" customHeight="1">
      <c r="B19" s="30"/>
      <c r="C19" s="17">
        <v>775</v>
      </c>
      <c r="D19" s="18">
        <v>-0.05</v>
      </c>
      <c r="E19" s="18">
        <v>112.14</v>
      </c>
      <c r="F19" s="18">
        <v>-6.3</v>
      </c>
      <c r="G19" s="18"/>
      <c r="H19" s="18"/>
      <c r="I19" s="18">
        <v>-15.4</v>
      </c>
      <c r="J19" s="18">
        <f>E19+D19+F19</f>
        <v>105.79</v>
      </c>
      <c r="K19" s="32">
        <f>AVERAGE(J16:J19)</f>
        <v>108.585</v>
      </c>
      <c r="L19" s="18"/>
      <c r="M19" s="18">
        <f>-(I19-D19)+M18</f>
        <v>850.1</v>
      </c>
      <c r="N19" s="18"/>
      <c r="O19" s="18">
        <f>1+O18</f>
        <v>16</v>
      </c>
    </row>
    <row r="20" ht="20.05" customHeight="1">
      <c r="B20" s="31">
        <v>2020</v>
      </c>
      <c r="C20" s="17">
        <v>987</v>
      </c>
      <c r="D20" s="18">
        <v>-0.001</v>
      </c>
      <c r="E20" s="18">
        <v>161.4</v>
      </c>
      <c r="F20" s="18">
        <v>-8.557</v>
      </c>
      <c r="G20" s="18"/>
      <c r="H20" s="18"/>
      <c r="I20" s="18">
        <v>0</v>
      </c>
      <c r="J20" s="18">
        <f>E20+D20+F20</f>
        <v>152.842</v>
      </c>
      <c r="K20" s="32">
        <f>AVERAGE(J17:J20)</f>
        <v>113.3355</v>
      </c>
      <c r="L20" s="18"/>
      <c r="M20" s="18">
        <f>-(I20-D20)+M19</f>
        <v>850.099</v>
      </c>
      <c r="N20" s="18"/>
      <c r="O20" s="18">
        <f>1+O19</f>
        <v>17</v>
      </c>
    </row>
    <row r="21" ht="20.05" customHeight="1">
      <c r="B21" s="30"/>
      <c r="C21" s="17">
        <v>789</v>
      </c>
      <c r="D21" s="18">
        <v>-7.999</v>
      </c>
      <c r="E21" s="18">
        <v>1.6</v>
      </c>
      <c r="F21" s="18">
        <v>-8.443</v>
      </c>
      <c r="G21" s="18"/>
      <c r="H21" s="18"/>
      <c r="I21" s="18">
        <v>-8</v>
      </c>
      <c r="J21" s="18">
        <f>E21+D21+F21</f>
        <v>-14.842</v>
      </c>
      <c r="K21" s="32">
        <f>AVERAGE(J18:J21)</f>
        <v>101.67</v>
      </c>
      <c r="L21" s="18"/>
      <c r="M21" s="18">
        <f>-(I21-D21)+M20</f>
        <v>850.1</v>
      </c>
      <c r="N21" s="18"/>
      <c r="O21" s="18">
        <f>1+O20</f>
        <v>18</v>
      </c>
    </row>
    <row r="22" ht="20.05" customHeight="1">
      <c r="B22" s="30"/>
      <c r="C22" s="17">
        <v>800</v>
      </c>
      <c r="D22" s="21">
        <v>0</v>
      </c>
      <c r="E22" s="18">
        <v>-41</v>
      </c>
      <c r="F22" s="18">
        <v>-6</v>
      </c>
      <c r="G22" s="18"/>
      <c r="H22" s="18"/>
      <c r="I22" s="18">
        <v>-51</v>
      </c>
      <c r="J22" s="21">
        <f>E22+D22+F22</f>
        <v>-47</v>
      </c>
      <c r="K22" s="32">
        <f>AVERAGE(J19:J22)</f>
        <v>49.1975</v>
      </c>
      <c r="L22" s="18"/>
      <c r="M22" s="18">
        <f>-(I22-D22)+M21</f>
        <v>901.1</v>
      </c>
      <c r="N22" s="18"/>
      <c r="O22" s="18">
        <f>1+O21</f>
        <v>19</v>
      </c>
    </row>
    <row r="23" ht="20.05" customHeight="1">
      <c r="B23" s="30"/>
      <c r="C23" s="17">
        <f>3577.6-SUM(C20:C22)</f>
        <v>1001.6</v>
      </c>
      <c r="D23" s="18">
        <f>-0.015-SUM(D20:D22)</f>
        <v>7.985</v>
      </c>
      <c r="E23" s="18">
        <f>171.3-SUM(E20:E22)</f>
        <v>49.3</v>
      </c>
      <c r="F23" s="18">
        <f>-36.4-SUM(F20:F22)</f>
        <v>-13.4</v>
      </c>
      <c r="G23" s="18"/>
      <c r="H23" s="18"/>
      <c r="I23" s="18">
        <f>-59.4-SUM(I20:I22)</f>
        <v>-0.4</v>
      </c>
      <c r="J23" s="18">
        <f>E23+D23+F23</f>
        <v>43.885</v>
      </c>
      <c r="K23" s="32">
        <f>AVERAGE(J20:J23)</f>
        <v>33.72125</v>
      </c>
      <c r="L23" s="18"/>
      <c r="M23" s="18">
        <f>-(I23-D23)+M22</f>
        <v>909.485</v>
      </c>
      <c r="N23" s="18"/>
      <c r="O23" s="18">
        <f>1+O22</f>
        <v>20</v>
      </c>
    </row>
    <row r="24" ht="20.05" customHeight="1">
      <c r="B24" s="31">
        <v>2021</v>
      </c>
      <c r="C24" s="17">
        <f>995.5</f>
        <v>995.5</v>
      </c>
      <c r="D24" s="18">
        <v>-0.001</v>
      </c>
      <c r="E24" s="18">
        <v>-85.5</v>
      </c>
      <c r="F24" s="18">
        <v>-13.1</v>
      </c>
      <c r="G24" s="18"/>
      <c r="H24" s="18"/>
      <c r="I24" s="18">
        <v>-0.003</v>
      </c>
      <c r="J24" s="18">
        <f>E24+D24+F24</f>
        <v>-98.601</v>
      </c>
      <c r="K24" s="32">
        <f>AVERAGE(J21:J24)</f>
        <v>-29.1395</v>
      </c>
      <c r="L24" s="18"/>
      <c r="M24" s="18">
        <f>-(I24-D24)+M23</f>
        <v>909.487</v>
      </c>
      <c r="N24" s="18"/>
      <c r="O24" s="18">
        <f>1+O23</f>
        <v>21</v>
      </c>
    </row>
    <row r="25" ht="20.05" customHeight="1">
      <c r="B25" s="30"/>
      <c r="C25" s="17">
        <v>1314.5</v>
      </c>
      <c r="D25" s="18">
        <v>-0.001</v>
      </c>
      <c r="E25" s="18">
        <v>21.5</v>
      </c>
      <c r="F25" s="18">
        <v>-9.9</v>
      </c>
      <c r="G25" s="18"/>
      <c r="H25" s="18">
        <v>-59.4</v>
      </c>
      <c r="I25" s="18">
        <v>-58.997</v>
      </c>
      <c r="J25" s="18">
        <f>E25+D25+F25</f>
        <v>11.599</v>
      </c>
      <c r="K25" s="32">
        <f>AVERAGE(J22:J25)</f>
        <v>-22.52925</v>
      </c>
      <c r="L25" s="18"/>
      <c r="M25" s="18">
        <f>-(I25-D25)+M24</f>
        <v>968.4829999999999</v>
      </c>
      <c r="N25" s="18"/>
      <c r="O25" s="18">
        <f>1+O24</f>
        <v>22</v>
      </c>
    </row>
    <row r="26" ht="20.05" customHeight="1">
      <c r="B26" s="30"/>
      <c r="C26" s="17">
        <f>3611-SUM(C24:C25)</f>
        <v>1301</v>
      </c>
      <c r="D26" s="18">
        <v>-0.001</v>
      </c>
      <c r="E26" s="18">
        <f>-17-SUM(E24:E25)</f>
        <v>47</v>
      </c>
      <c r="F26" s="18">
        <f>-44-SUM(F24:F25)</f>
        <v>-21</v>
      </c>
      <c r="G26" s="18"/>
      <c r="H26" s="18">
        <v>0</v>
      </c>
      <c r="I26" s="18">
        <f>-59.4-SUM(I24:I25)</f>
        <v>-0.4</v>
      </c>
      <c r="J26" s="18">
        <f>E26+D26+F26</f>
        <v>25.999</v>
      </c>
      <c r="K26" s="32">
        <f>AVERAGE(J23:J26)</f>
        <v>-4.2795</v>
      </c>
      <c r="L26" s="18"/>
      <c r="M26" s="18">
        <f>-(I26-D26)+M25</f>
        <v>968.8819999999999</v>
      </c>
      <c r="N26" s="18"/>
      <c r="O26" s="18">
        <f>1+O25</f>
        <v>23</v>
      </c>
    </row>
    <row r="27" ht="20.05" customHeight="1">
      <c r="B27" s="30"/>
      <c r="C27" s="17">
        <f>5243-C26-C25-C24</f>
        <v>1632</v>
      </c>
      <c r="D27" s="18">
        <v>-0.001</v>
      </c>
      <c r="E27" s="18">
        <f>-91.5-E26-E25-E24</f>
        <v>-74.5</v>
      </c>
      <c r="F27" s="18">
        <f>-56-F26-F25-F24</f>
        <v>-12</v>
      </c>
      <c r="G27" s="18"/>
      <c r="H27" s="18">
        <f>-59.4-H26-H25-H24</f>
        <v>0</v>
      </c>
      <c r="I27" s="18">
        <f>-59.4-I26-I25-I24</f>
        <v>0</v>
      </c>
      <c r="J27" s="18">
        <f>E27+D27+F27</f>
        <v>-86.501</v>
      </c>
      <c r="K27" s="32">
        <f>AVERAGE(J24:J27)</f>
        <v>-36.876</v>
      </c>
      <c r="L27" s="18">
        <f>K27</f>
        <v>-36.876</v>
      </c>
      <c r="M27" s="18">
        <f>-(I27-D27)+M26</f>
        <v>968.881</v>
      </c>
      <c r="N27" s="18">
        <f>M27</f>
        <v>968.881</v>
      </c>
      <c r="O27" s="18">
        <f>1+O26</f>
        <v>24</v>
      </c>
    </row>
    <row r="28" ht="20.05" customHeight="1">
      <c r="B28" s="31">
        <v>2022</v>
      </c>
      <c r="C28" s="17"/>
      <c r="D28" s="18"/>
      <c r="E28" s="18"/>
      <c r="F28" s="18"/>
      <c r="G28" s="18"/>
      <c r="H28" s="18"/>
      <c r="I28" s="18"/>
      <c r="J28" s="18"/>
      <c r="K28" s="22"/>
      <c r="L28" s="32">
        <f>SUM('Model'!F9:F10)</f>
        <v>58.5078002285</v>
      </c>
      <c r="M28" s="22"/>
      <c r="N28" s="18">
        <f>'Model'!F32</f>
        <v>1194.080006918910</v>
      </c>
      <c r="O28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27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09375" style="38" customWidth="1"/>
    <col min="2" max="2" width="7.03906" style="38" customWidth="1"/>
    <col min="3" max="11" width="10.2734" style="38" customWidth="1"/>
    <col min="12" max="16384" width="16.3516" style="38" customWidth="1"/>
  </cols>
  <sheetData>
    <row r="1" ht="27.65" customHeight="1">
      <c r="B1" t="s" s="2">
        <v>21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1</v>
      </c>
      <c r="C2" t="s" s="5">
        <v>52</v>
      </c>
      <c r="D2" t="s" s="5">
        <v>53</v>
      </c>
      <c r="E2" t="s" s="5">
        <v>22</v>
      </c>
      <c r="F2" t="s" s="5">
        <v>23</v>
      </c>
      <c r="G2" t="s" s="5">
        <v>11</v>
      </c>
      <c r="H2" t="s" s="5">
        <v>25</v>
      </c>
      <c r="I2" t="s" s="5">
        <v>54</v>
      </c>
      <c r="J2" t="s" s="5">
        <v>55</v>
      </c>
      <c r="K2" t="s" s="5">
        <v>35</v>
      </c>
    </row>
    <row r="3" ht="20.25" customHeight="1">
      <c r="B3" s="26">
        <v>2016</v>
      </c>
      <c r="C3" s="35">
        <v>31</v>
      </c>
      <c r="D3" s="36">
        <v>1352</v>
      </c>
      <c r="E3" s="36">
        <f>D3-C3</f>
        <v>1321</v>
      </c>
      <c r="F3" s="36">
        <v>183.8</v>
      </c>
      <c r="G3" s="36">
        <v>636</v>
      </c>
      <c r="H3" s="36">
        <v>716</v>
      </c>
      <c r="I3" s="36">
        <f>G3+H3-C3-E3</f>
        <v>0</v>
      </c>
      <c r="J3" s="36">
        <f>C3-G3</f>
        <v>-605</v>
      </c>
      <c r="K3" s="36"/>
    </row>
    <row r="4" ht="20.05" customHeight="1">
      <c r="B4" s="30"/>
      <c r="C4" s="17">
        <v>28</v>
      </c>
      <c r="D4" s="18">
        <v>1491</v>
      </c>
      <c r="E4" s="18">
        <f>D4-C4</f>
        <v>1463</v>
      </c>
      <c r="F4" s="18">
        <v>188.5</v>
      </c>
      <c r="G4" s="18">
        <v>716</v>
      </c>
      <c r="H4" s="18">
        <v>775</v>
      </c>
      <c r="I4" s="18">
        <f>G4+H4-C4-E4</f>
        <v>0</v>
      </c>
      <c r="J4" s="18">
        <f>C4-G4</f>
        <v>-688</v>
      </c>
      <c r="K4" s="18"/>
    </row>
    <row r="5" ht="20.05" customHeight="1">
      <c r="B5" s="30"/>
      <c r="C5" s="17">
        <v>13</v>
      </c>
      <c r="D5" s="18">
        <v>1412</v>
      </c>
      <c r="E5" s="18">
        <f>D5-C5</f>
        <v>1399</v>
      </c>
      <c r="F5" s="18">
        <v>193.75</v>
      </c>
      <c r="G5" s="18">
        <v>556</v>
      </c>
      <c r="H5" s="18">
        <v>856</v>
      </c>
      <c r="I5" s="18">
        <f>G5+H5-C5-E5</f>
        <v>0</v>
      </c>
      <c r="J5" s="18">
        <f>C5-G5</f>
        <v>-543</v>
      </c>
      <c r="K5" s="18"/>
    </row>
    <row r="6" ht="20.05" customHeight="1">
      <c r="B6" s="30"/>
      <c r="C6" s="17">
        <v>20.7</v>
      </c>
      <c r="D6" s="18">
        <v>1426</v>
      </c>
      <c r="E6" s="18">
        <f>D6-C6</f>
        <v>1405.3</v>
      </c>
      <c r="F6" s="18">
        <v>199.3</v>
      </c>
      <c r="G6" s="18">
        <v>538</v>
      </c>
      <c r="H6" s="18">
        <v>888</v>
      </c>
      <c r="I6" s="18">
        <f>G6+H6-C6-E6</f>
        <v>0</v>
      </c>
      <c r="J6" s="18">
        <f>C6-G6</f>
        <v>-517.3</v>
      </c>
      <c r="K6" s="18"/>
    </row>
    <row r="7" ht="20.05" customHeight="1">
      <c r="B7" s="31">
        <v>2017</v>
      </c>
      <c r="C7" s="17">
        <v>46</v>
      </c>
      <c r="D7" s="18">
        <v>1304</v>
      </c>
      <c r="E7" s="18">
        <f>D7-C7</f>
        <v>1258</v>
      </c>
      <c r="F7" s="18">
        <v>205.3</v>
      </c>
      <c r="G7" s="18">
        <v>380</v>
      </c>
      <c r="H7" s="18">
        <v>924</v>
      </c>
      <c r="I7" s="18">
        <f>G7+H7-C7-E7</f>
        <v>0</v>
      </c>
      <c r="J7" s="18">
        <f>C7-G7</f>
        <v>-334</v>
      </c>
      <c r="K7" s="18"/>
    </row>
    <row r="8" ht="20.05" customHeight="1">
      <c r="B8" s="30"/>
      <c r="C8" s="17">
        <v>2</v>
      </c>
      <c r="D8" s="18">
        <v>1292</v>
      </c>
      <c r="E8" s="18">
        <f>D8-C8</f>
        <v>1290</v>
      </c>
      <c r="F8" s="18">
        <v>210</v>
      </c>
      <c r="G8" s="18">
        <v>458</v>
      </c>
      <c r="H8" s="18">
        <v>834</v>
      </c>
      <c r="I8" s="18">
        <f>G8+H8-C8-E8</f>
        <v>0</v>
      </c>
      <c r="J8" s="18">
        <f>C8-G8</f>
        <v>-456</v>
      </c>
      <c r="K8" s="18"/>
    </row>
    <row r="9" ht="20.05" customHeight="1">
      <c r="B9" s="30"/>
      <c r="C9" s="17">
        <v>9</v>
      </c>
      <c r="D9" s="18">
        <v>1312</v>
      </c>
      <c r="E9" s="18">
        <f>D9-C9</f>
        <v>1303</v>
      </c>
      <c r="F9" s="18">
        <v>216.1</v>
      </c>
      <c r="G9" s="18">
        <v>438</v>
      </c>
      <c r="H9" s="18">
        <v>874</v>
      </c>
      <c r="I9" s="18">
        <f>G9+H9-C9-E9</f>
        <v>0</v>
      </c>
      <c r="J9" s="18">
        <f>C9-G9</f>
        <v>-429</v>
      </c>
      <c r="K9" s="18"/>
    </row>
    <row r="10" ht="20.05" customHeight="1">
      <c r="B10" s="30"/>
      <c r="C10" s="17">
        <v>13</v>
      </c>
      <c r="D10" s="18">
        <v>1393</v>
      </c>
      <c r="E10" s="18">
        <f>D10-C10</f>
        <v>1380</v>
      </c>
      <c r="F10" s="18">
        <v>218.8</v>
      </c>
      <c r="G10" s="18">
        <v>490</v>
      </c>
      <c r="H10" s="18">
        <v>903</v>
      </c>
      <c r="I10" s="18">
        <f>G10+H10-C10-E10</f>
        <v>0</v>
      </c>
      <c r="J10" s="18">
        <f>C10-G10</f>
        <v>-477</v>
      </c>
      <c r="K10" s="18"/>
    </row>
    <row r="11" ht="20.05" customHeight="1">
      <c r="B11" s="31">
        <v>2018</v>
      </c>
      <c r="C11" s="17">
        <v>13.6</v>
      </c>
      <c r="D11" s="18">
        <v>1489</v>
      </c>
      <c r="E11" s="18">
        <f>D11-C11</f>
        <v>1475.4</v>
      </c>
      <c r="F11" s="18">
        <v>224.5</v>
      </c>
      <c r="G11" s="18">
        <v>570</v>
      </c>
      <c r="H11" s="18">
        <v>919</v>
      </c>
      <c r="I11" s="18">
        <f>G11+H11-C11-E11</f>
        <v>0</v>
      </c>
      <c r="J11" s="18">
        <f>C11-G11</f>
        <v>-556.4</v>
      </c>
      <c r="K11" s="18"/>
    </row>
    <row r="12" ht="20.05" customHeight="1">
      <c r="B12" s="30"/>
      <c r="C12" s="17">
        <v>18.46</v>
      </c>
      <c r="D12" s="18">
        <v>1320</v>
      </c>
      <c r="E12" s="18">
        <f>D12-C12</f>
        <v>1301.54</v>
      </c>
      <c r="F12" s="18">
        <v>299.7</v>
      </c>
      <c r="G12" s="18">
        <v>423</v>
      </c>
      <c r="H12" s="18">
        <v>897</v>
      </c>
      <c r="I12" s="18">
        <f>G12+H12-C12-E12</f>
        <v>0</v>
      </c>
      <c r="J12" s="18">
        <f>C12-G12</f>
        <v>-404.54</v>
      </c>
      <c r="K12" s="18"/>
    </row>
    <row r="13" ht="20.05" customHeight="1">
      <c r="B13" s="30"/>
      <c r="C13" s="17">
        <v>21</v>
      </c>
      <c r="D13" s="18">
        <v>1212</v>
      </c>
      <c r="E13" s="18">
        <f>D13-C13</f>
        <v>1191</v>
      </c>
      <c r="F13" s="18">
        <v>235.3</v>
      </c>
      <c r="G13" s="18">
        <v>295</v>
      </c>
      <c r="H13" s="18">
        <v>917</v>
      </c>
      <c r="I13" s="18">
        <f>G13+H13-C13-E13</f>
        <v>0</v>
      </c>
      <c r="J13" s="18">
        <f>C13-G13</f>
        <v>-274</v>
      </c>
      <c r="K13" s="18"/>
    </row>
    <row r="14" ht="20.05" customHeight="1">
      <c r="B14" s="30"/>
      <c r="C14" s="17">
        <v>1</v>
      </c>
      <c r="D14" s="18">
        <v>1169</v>
      </c>
      <c r="E14" s="18">
        <f>D14-C14</f>
        <v>1168</v>
      </c>
      <c r="F14" s="18">
        <v>241</v>
      </c>
      <c r="G14" s="18">
        <v>192</v>
      </c>
      <c r="H14" s="18">
        <v>977</v>
      </c>
      <c r="I14" s="18">
        <f>G14+H14-C14-E14</f>
        <v>0</v>
      </c>
      <c r="J14" s="18">
        <f>C14-G14</f>
        <v>-191</v>
      </c>
      <c r="K14" s="18"/>
    </row>
    <row r="15" ht="20.05" customHeight="1">
      <c r="B15" s="31">
        <v>2019</v>
      </c>
      <c r="C15" s="17">
        <v>125</v>
      </c>
      <c r="D15" s="18">
        <v>1241</v>
      </c>
      <c r="E15" s="18">
        <f>D15-C15</f>
        <v>1116</v>
      </c>
      <c r="F15" s="18">
        <v>246</v>
      </c>
      <c r="G15" s="18">
        <v>205</v>
      </c>
      <c r="H15" s="18">
        <v>1036</v>
      </c>
      <c r="I15" s="18">
        <f>G15+H15-C15-E15</f>
        <v>0</v>
      </c>
      <c r="J15" s="18">
        <f>C15-G15</f>
        <v>-80</v>
      </c>
      <c r="K15" s="21"/>
    </row>
    <row r="16" ht="20.05" customHeight="1">
      <c r="B16" s="30"/>
      <c r="C16" s="17">
        <v>158</v>
      </c>
      <c r="D16" s="18">
        <v>1224</v>
      </c>
      <c r="E16" s="18">
        <f>D16-C16</f>
        <v>1066</v>
      </c>
      <c r="F16" s="18">
        <v>250.8</v>
      </c>
      <c r="G16" s="18">
        <v>215</v>
      </c>
      <c r="H16" s="18">
        <v>1009</v>
      </c>
      <c r="I16" s="18">
        <f>G16+H16-C16-E16</f>
        <v>0</v>
      </c>
      <c r="J16" s="18">
        <f>C16-G16</f>
        <v>-57</v>
      </c>
      <c r="K16" s="21"/>
    </row>
    <row r="17" ht="20.05" customHeight="1">
      <c r="B17" s="30"/>
      <c r="C17" s="17">
        <v>276</v>
      </c>
      <c r="D17" s="18">
        <v>1247</v>
      </c>
      <c r="E17" s="18">
        <f>D17-C17</f>
        <v>971</v>
      </c>
      <c r="F17" s="18">
        <v>256</v>
      </c>
      <c r="G17" s="18">
        <v>199</v>
      </c>
      <c r="H17" s="18">
        <v>1048</v>
      </c>
      <c r="I17" s="18">
        <f>G17+H17-C17-E17</f>
        <v>0</v>
      </c>
      <c r="J17" s="18">
        <f>C17-G17</f>
        <v>77</v>
      </c>
      <c r="K17" s="21"/>
    </row>
    <row r="18" ht="20.05" customHeight="1">
      <c r="B18" s="30"/>
      <c r="C18" s="17">
        <v>366</v>
      </c>
      <c r="D18" s="18">
        <v>1393</v>
      </c>
      <c r="E18" s="18">
        <f>D18-C18</f>
        <v>1027</v>
      </c>
      <c r="F18" s="18">
        <v>261</v>
      </c>
      <c r="G18" s="18">
        <v>262</v>
      </c>
      <c r="H18" s="18">
        <v>1131</v>
      </c>
      <c r="I18" s="18">
        <f>G18+H18-C18-E18</f>
        <v>0</v>
      </c>
      <c r="J18" s="18">
        <f>C18-G18</f>
        <v>104</v>
      </c>
      <c r="K18" s="21"/>
    </row>
    <row r="19" ht="20.05" customHeight="1">
      <c r="B19" s="31">
        <v>2020</v>
      </c>
      <c r="C19" s="17">
        <v>519</v>
      </c>
      <c r="D19" s="18">
        <v>1431</v>
      </c>
      <c r="E19" s="18">
        <f>D19-C19</f>
        <v>912</v>
      </c>
      <c r="F19" s="18">
        <v>267</v>
      </c>
      <c r="G19" s="18">
        <v>233</v>
      </c>
      <c r="H19" s="18">
        <v>1198</v>
      </c>
      <c r="I19" s="18">
        <f>G19+H19-C19-E19</f>
        <v>0</v>
      </c>
      <c r="J19" s="18">
        <f>C19-G19</f>
        <v>286</v>
      </c>
      <c r="K19" s="21"/>
    </row>
    <row r="20" ht="20.05" customHeight="1">
      <c r="B20" s="30"/>
      <c r="C20" s="17">
        <v>513</v>
      </c>
      <c r="D20" s="18">
        <v>1369</v>
      </c>
      <c r="E20" s="18">
        <f>D20-C20</f>
        <v>856</v>
      </c>
      <c r="F20" s="18">
        <v>272</v>
      </c>
      <c r="G20" s="18">
        <v>171</v>
      </c>
      <c r="H20" s="18">
        <v>1198</v>
      </c>
      <c r="I20" s="18">
        <f>G20+H20-C20-E20</f>
        <v>0</v>
      </c>
      <c r="J20" s="18">
        <f>C20-G20</f>
        <v>342</v>
      </c>
      <c r="K20" s="21"/>
    </row>
    <row r="21" ht="20.05" customHeight="1">
      <c r="B21" s="30"/>
      <c r="C21" s="17">
        <v>406</v>
      </c>
      <c r="D21" s="18">
        <v>1384</v>
      </c>
      <c r="E21" s="18">
        <f>D21-C21</f>
        <v>978</v>
      </c>
      <c r="F21" s="18">
        <v>278</v>
      </c>
      <c r="G21" s="18">
        <v>198</v>
      </c>
      <c r="H21" s="18">
        <v>1187</v>
      </c>
      <c r="I21" s="18">
        <f>G21+H21-C21-E21</f>
        <v>1</v>
      </c>
      <c r="J21" s="18">
        <f>C21-G21</f>
        <v>208</v>
      </c>
      <c r="K21" s="21"/>
    </row>
    <row r="22" ht="20.05" customHeight="1">
      <c r="B22" s="30"/>
      <c r="C22" s="17">
        <v>442</v>
      </c>
      <c r="D22" s="18">
        <v>1567</v>
      </c>
      <c r="E22" s="18">
        <f>D22-C22</f>
        <v>1125</v>
      </c>
      <c r="F22" s="18">
        <v>284</v>
      </c>
      <c r="G22" s="18">
        <v>306</v>
      </c>
      <c r="H22" s="18">
        <v>1261</v>
      </c>
      <c r="I22" s="18">
        <f>G22+H22-C22-E22</f>
        <v>0</v>
      </c>
      <c r="J22" s="18">
        <f>C22-G22</f>
        <v>136</v>
      </c>
      <c r="K22" s="21"/>
    </row>
    <row r="23" ht="20.05" customHeight="1">
      <c r="B23" s="31">
        <v>2021</v>
      </c>
      <c r="C23" s="17">
        <v>343</v>
      </c>
      <c r="D23" s="18">
        <v>1580</v>
      </c>
      <c r="E23" s="18">
        <f>D23-C23</f>
        <v>1237</v>
      </c>
      <c r="F23" s="18">
        <v>289</v>
      </c>
      <c r="G23" s="18">
        <v>270</v>
      </c>
      <c r="H23" s="18">
        <v>1310</v>
      </c>
      <c r="I23" s="18">
        <f>G23+H23-C23-E23</f>
        <v>0</v>
      </c>
      <c r="J23" s="18">
        <f>C23-G23</f>
        <v>73</v>
      </c>
      <c r="K23" s="21"/>
    </row>
    <row r="24" ht="20.05" customHeight="1">
      <c r="B24" s="30"/>
      <c r="C24" s="17">
        <v>296</v>
      </c>
      <c r="D24" s="18">
        <v>1490</v>
      </c>
      <c r="E24" s="18">
        <f>D24-C24</f>
        <v>1194</v>
      </c>
      <c r="F24" s="32">
        <f>F23+'Sales'!E29</f>
        <v>295.25</v>
      </c>
      <c r="G24" s="18">
        <v>213</v>
      </c>
      <c r="H24" s="18">
        <v>1278</v>
      </c>
      <c r="I24" s="18">
        <f>G24+H24-C24-E24</f>
        <v>1</v>
      </c>
      <c r="J24" s="18">
        <f>C24-G24</f>
        <v>83</v>
      </c>
      <c r="K24" s="21"/>
    </row>
    <row r="25" ht="20.05" customHeight="1">
      <c r="B25" s="30"/>
      <c r="C25" s="17">
        <v>321</v>
      </c>
      <c r="D25" s="18">
        <v>1581</v>
      </c>
      <c r="E25" s="18">
        <f>D25-C25</f>
        <v>1260</v>
      </c>
      <c r="F25" s="21">
        <v>295</v>
      </c>
      <c r="G25" s="18">
        <v>250</v>
      </c>
      <c r="H25" s="18">
        <v>1331</v>
      </c>
      <c r="I25" s="18">
        <f>G25+H25-C25-E25</f>
        <v>0</v>
      </c>
      <c r="J25" s="18">
        <f>C25-G25</f>
        <v>71</v>
      </c>
      <c r="K25" s="21"/>
    </row>
    <row r="26" ht="20.05" customHeight="1">
      <c r="B26" s="30"/>
      <c r="C26" s="17">
        <f>C25+'Cashflow'!E27+'Cashflow'!D27+'Cashflow'!F27+'Cashflow'!I27</f>
        <v>234.499</v>
      </c>
      <c r="D26" s="18">
        <v>1697</v>
      </c>
      <c r="E26" s="18">
        <f>D26-C26</f>
        <v>1462.501</v>
      </c>
      <c r="F26" s="21">
        <f>F25+'Sales'!E31</f>
        <v>301.25</v>
      </c>
      <c r="G26" s="18">
        <v>310</v>
      </c>
      <c r="H26" s="18">
        <f>D26-G26</f>
        <v>1387</v>
      </c>
      <c r="I26" s="18">
        <f>G26+H26-C26-E26</f>
        <v>0</v>
      </c>
      <c r="J26" s="18">
        <f>C26-G26</f>
        <v>-75.501</v>
      </c>
      <c r="K26" s="21">
        <f>J26</f>
        <v>-75.501</v>
      </c>
    </row>
    <row r="27" ht="20.05" customHeight="1">
      <c r="B27" s="31">
        <v>2022</v>
      </c>
      <c r="C27" s="17"/>
      <c r="D27" s="18"/>
      <c r="E27" s="18"/>
      <c r="F27" s="21"/>
      <c r="G27" s="18"/>
      <c r="H27" s="18"/>
      <c r="I27" s="18"/>
      <c r="J27" s="18"/>
      <c r="K27" s="32">
        <f>'Model'!F30</f>
        <v>-48.861198616218</v>
      </c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375" style="39" customWidth="1"/>
    <col min="2" max="2" width="6.5" style="39" customWidth="1"/>
    <col min="3" max="4" width="10.9922" style="39" customWidth="1"/>
    <col min="5" max="16384" width="16.3516" style="39" customWidth="1"/>
  </cols>
  <sheetData>
    <row r="1" ht="69.2" customHeight="1"/>
    <row r="2" ht="27.65" customHeight="1">
      <c r="B2" t="s" s="2">
        <v>56</v>
      </c>
      <c r="C2" s="2"/>
      <c r="D2" s="2"/>
    </row>
    <row r="3" ht="20.25" customHeight="1">
      <c r="B3" s="4"/>
      <c r="C3" t="s" s="40">
        <v>57</v>
      </c>
      <c r="D3" t="s" s="40">
        <v>38</v>
      </c>
    </row>
    <row r="4" ht="20.25" customHeight="1">
      <c r="B4" s="26">
        <v>2018</v>
      </c>
      <c r="C4" s="35">
        <v>1320</v>
      </c>
      <c r="D4" s="8"/>
    </row>
    <row r="5" ht="20.05" customHeight="1">
      <c r="B5" s="30"/>
      <c r="C5" s="17">
        <v>1110</v>
      </c>
      <c r="D5" s="22"/>
    </row>
    <row r="6" ht="20.05" customHeight="1">
      <c r="B6" s="30"/>
      <c r="C6" s="17">
        <v>1085</v>
      </c>
      <c r="D6" s="22"/>
    </row>
    <row r="7" ht="20.05" customHeight="1">
      <c r="B7" s="30"/>
      <c r="C7" s="17">
        <v>1375</v>
      </c>
      <c r="D7" s="22"/>
    </row>
    <row r="8" ht="20.05" customHeight="1">
      <c r="B8" s="31">
        <v>2019</v>
      </c>
      <c r="C8" s="17">
        <v>1055</v>
      </c>
      <c r="D8" s="22"/>
    </row>
    <row r="9" ht="20.05" customHeight="1">
      <c r="B9" s="30"/>
      <c r="C9" s="17">
        <v>1525</v>
      </c>
      <c r="D9" s="22"/>
    </row>
    <row r="10" ht="20.05" customHeight="1">
      <c r="B10" s="30"/>
      <c r="C10" s="17">
        <v>1500</v>
      </c>
      <c r="D10" s="22"/>
    </row>
    <row r="11" ht="20.05" customHeight="1">
      <c r="B11" s="30"/>
      <c r="C11" s="17">
        <v>1586.5</v>
      </c>
      <c r="D11" s="22"/>
    </row>
    <row r="12" ht="20.05" customHeight="1">
      <c r="B12" s="31">
        <v>2020</v>
      </c>
      <c r="C12" s="17">
        <v>1140</v>
      </c>
      <c r="D12" s="22"/>
    </row>
    <row r="13" ht="20.05" customHeight="1">
      <c r="B13" s="30"/>
      <c r="C13" s="17">
        <v>1895.25</v>
      </c>
      <c r="D13" s="22"/>
    </row>
    <row r="14" ht="20.05" customHeight="1">
      <c r="B14" s="30"/>
      <c r="C14" s="17">
        <v>1675</v>
      </c>
      <c r="D14" s="22"/>
    </row>
    <row r="15" ht="20.05" customHeight="1">
      <c r="B15" s="30"/>
      <c r="C15" s="17">
        <v>1785</v>
      </c>
      <c r="D15" s="22"/>
    </row>
    <row r="16" ht="20.05" customHeight="1">
      <c r="B16" s="31">
        <v>2021</v>
      </c>
      <c r="C16" s="17">
        <v>1850</v>
      </c>
      <c r="D16" s="22"/>
    </row>
    <row r="17" ht="20.05" customHeight="1">
      <c r="B17" s="30"/>
      <c r="C17" s="17">
        <v>1780</v>
      </c>
      <c r="D17" s="22"/>
    </row>
    <row r="18" ht="20.05" customHeight="1">
      <c r="B18" s="30"/>
      <c r="C18" s="17">
        <v>1795</v>
      </c>
      <c r="D18" s="22"/>
    </row>
    <row r="19" ht="20.05" customHeight="1">
      <c r="B19" s="30"/>
      <c r="C19" s="17">
        <v>1820</v>
      </c>
      <c r="D19" s="22"/>
    </row>
    <row r="20" ht="20.05" customHeight="1">
      <c r="B20" s="31">
        <v>2022</v>
      </c>
      <c r="C20" s="17">
        <v>1860</v>
      </c>
      <c r="D20" s="18">
        <f>C20</f>
        <v>1860</v>
      </c>
    </row>
    <row r="21" ht="20.05" customHeight="1">
      <c r="B21" s="30"/>
      <c r="C21" s="17"/>
      <c r="D21" s="18">
        <f>'Model'!F43</f>
        <v>3406.371533227210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