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<sst xmlns="http://schemas.openxmlformats.org/spreadsheetml/2006/main" uniqueCount="58">
  <si>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</si>
  <si>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</si>
  <si>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</si>
  <si>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</si>
  <si>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</si>
  <si>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</si>
  <si>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</si>
  <si>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</si>
  <si>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</si>
  <si>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</si>
  <si>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</si>
  <si>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</si>
  <si>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</si>
  <si>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</si>
  <si>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</si>
  <si>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</si>
  <si>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</si>
  <si>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</si>
  <si>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</si>
  <si>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</si>
  <si>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</si>
  <si>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</si>
  <si>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</si>
  <si>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</si>
  <si>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</si>
  <si>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</si>
  <si>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>Liabilities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</si>
  <si>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</si>
  <si>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</si>
  <si>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</si>
  <si>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</si>
  <si>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</si>
  <si>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</si>
  <si>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</si>
  <si>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</si>
  <si>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</si>
  <si>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</si>
  <si>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</si>
  <si>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</si>
  <si>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</si>
  <si>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</si>
  <si>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</si>
  <si>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</si>
  <si>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>Sales form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</si>
  <si>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</si>
  <si>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</si>
  <si>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</si>
  <si>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</si>
  <si>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</si>
  <si>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 xml:space="preserve">Free cashflow </t>
  </si>
  <si>
    <t>Rp bn</t>
  </si>
  <si>
    <t>Cash</t>
  </si>
  <si>
    <t>Assets</t>
  </si>
  <si>
    <t>Net cash</t>
  </si>
  <si>
    <t>Share price</t>
  </si>
  <si>
    <t>CAMP</t>
  </si>
  <si>
    <t>Target</t>
  </si>
  <si>
    <t>Previous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</si>
</sst>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0" borderId="4" applyNumberFormat="1" applyFont="1" applyFill="0" applyBorder="1" applyAlignment="1" applyProtection="0">
      <alignment vertical="top" wrapText="1"/>
    </xf>
    <xf numFmtId="1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466407</xdr:colOff>
      <xdr:row>1</xdr:row>
      <xdr:rowOff>152591</xdr:rowOff>
    </xdr:from>
    <xdr:to>
      <xdr:col>13</xdr:col>
      <xdr:colOff>528294</xdr:colOff>
      <xdr:row>48</xdr:row>
      <xdr:rowOff>219891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38407" y="1020636"/>
          <a:ext cx="8774088" cy="121367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2578" style="1" customWidth="1"/>
    <col min="2" max="2" width="15.9375" style="1" customWidth="1"/>
    <col min="3" max="6" width="8.17969" style="1" customWidth="1"/>
    <col min="7" max="16384" width="16.3516" style="1" customWidth="1"/>
  </cols>
  <sheetData>
    <row r="1" ht="68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AVERAGE('Sales'!G25:G28)</f>
        <v>0.0290967905991674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0.07000000000000001</v>
      </c>
      <c r="D5" s="12">
        <v>0.03</v>
      </c>
      <c r="E5" s="12">
        <v>0.03</v>
      </c>
      <c r="F5" s="12">
        <v>-0.01</v>
      </c>
    </row>
    <row r="6" ht="20.05" customHeight="1">
      <c r="B6" t="s" s="10">
        <v>5</v>
      </c>
      <c r="C6" s="13">
        <f>'Sales'!C28*(1+C5)</f>
        <v>277.13</v>
      </c>
      <c r="D6" s="14">
        <f>C6*(1+D5)</f>
        <v>285.4439</v>
      </c>
      <c r="E6" s="14">
        <f>D6*(1+E5)</f>
        <v>294.007217</v>
      </c>
      <c r="F6" s="14">
        <f>E6*(1+F5)</f>
        <v>291.06714483</v>
      </c>
    </row>
    <row r="7" ht="20.05" customHeight="1">
      <c r="B7" t="s" s="10">
        <v>6</v>
      </c>
      <c r="C7" s="15">
        <f>AVERAGE('Sales'!I28)</f>
        <v>-0.823222923234233</v>
      </c>
      <c r="D7" s="16">
        <f>C7</f>
        <v>-0.823222923234233</v>
      </c>
      <c r="E7" s="16">
        <f>D7</f>
        <v>-0.823222923234233</v>
      </c>
      <c r="F7" s="16">
        <f>E7</f>
        <v>-0.823222923234233</v>
      </c>
    </row>
    <row r="8" ht="20.05" customHeight="1">
      <c r="B8" t="s" s="10">
        <v>7</v>
      </c>
      <c r="C8" s="17">
        <f>C7*C6</f>
        <v>-228.139768715903</v>
      </c>
      <c r="D8" s="18">
        <f>D7*D6</f>
        <v>-234.983961777380</v>
      </c>
      <c r="E8" s="18">
        <f>E7*E6</f>
        <v>-242.033480630701</v>
      </c>
      <c r="F8" s="18">
        <f>F7*F6</f>
        <v>-239.613145824394</v>
      </c>
    </row>
    <row r="9" ht="20.05" customHeight="1">
      <c r="B9" t="s" s="10">
        <v>8</v>
      </c>
      <c r="C9" s="17">
        <f>C6+C8</f>
        <v>48.990231284097</v>
      </c>
      <c r="D9" s="18">
        <f>D6+D8</f>
        <v>50.459938222620</v>
      </c>
      <c r="E9" s="18">
        <f>E6+E8</f>
        <v>51.973736369299</v>
      </c>
      <c r="F9" s="18">
        <f>F6+F8</f>
        <v>51.453999005606</v>
      </c>
    </row>
    <row r="10" ht="20.05" customHeight="1">
      <c r="B10" t="s" s="10">
        <v>9</v>
      </c>
      <c r="C10" s="17">
        <f>AVERAGE('Cashflow'!E24)</f>
        <v>-10.4</v>
      </c>
      <c r="D10" s="18">
        <f>C10</f>
        <v>-10.4</v>
      </c>
      <c r="E10" s="18">
        <f>D10</f>
        <v>-10.4</v>
      </c>
      <c r="F10" s="18">
        <f>E10</f>
        <v>-10.4</v>
      </c>
    </row>
    <row r="11" ht="20.05" customHeight="1">
      <c r="B11" t="s" s="10">
        <v>10</v>
      </c>
      <c r="C11" s="17">
        <f>C12+C15+C13</f>
        <v>-38.590231284097</v>
      </c>
      <c r="D11" s="18">
        <f>D12+D15+D13</f>
        <v>-40.059938222620</v>
      </c>
      <c r="E11" s="18">
        <f>E12+E15+E13</f>
        <v>-41.573736369299</v>
      </c>
      <c r="F11" s="18">
        <f>F12+F15+F13</f>
        <v>-41.053999005606</v>
      </c>
    </row>
    <row r="12" ht="20.05" customHeight="1">
      <c r="B12" t="s" s="10">
        <v>11</v>
      </c>
      <c r="C12" s="17">
        <f>-('Balance sheet'!G20)/20</f>
        <v>-8.449999999999999</v>
      </c>
      <c r="D12" s="18">
        <f>-C27/20</f>
        <v>-8.0275</v>
      </c>
      <c r="E12" s="18">
        <f>-D27/20</f>
        <v>-7.626125</v>
      </c>
      <c r="F12" s="18">
        <f>-E27/20</f>
        <v>-7.24481875</v>
      </c>
    </row>
    <row r="13" ht="20.05" customHeight="1">
      <c r="B13" t="s" s="10">
        <v>12</v>
      </c>
      <c r="C13" s="17">
        <f>-MIN(0,C16)</f>
        <v>11.4470693852291</v>
      </c>
      <c r="D13" s="18">
        <f>-MIN(C28,D16)</f>
        <v>11.465481466786</v>
      </c>
      <c r="E13" s="18">
        <f>-MIN(D28,E16)</f>
        <v>11.5182459107897</v>
      </c>
      <c r="F13" s="18">
        <f>-MIN(E28,F16)</f>
        <v>10.9810184516818</v>
      </c>
    </row>
    <row r="14" ht="20.05" customHeight="1">
      <c r="B14" t="s" s="10">
        <v>13</v>
      </c>
      <c r="C14" s="19">
        <v>1.3</v>
      </c>
      <c r="D14" s="18"/>
      <c r="E14" s="18"/>
      <c r="F14" s="18"/>
    </row>
    <row r="15" ht="20.05" customHeight="1">
      <c r="B15" t="s" s="10">
        <v>14</v>
      </c>
      <c r="C15" s="17">
        <f>IF(C22&gt;0,-C22*$C$14,0)</f>
        <v>-41.5873006693261</v>
      </c>
      <c r="D15" s="18">
        <f>IF(D22&gt;0,-D22*$C$14,0)</f>
        <v>-43.497919689406</v>
      </c>
      <c r="E15" s="18">
        <f>IF(E22&gt;0,-E22*$C$14,0)</f>
        <v>-45.4658572800887</v>
      </c>
      <c r="F15" s="18">
        <f>IF(F22&gt;0,-F22*$C$14,0)</f>
        <v>-44.7901987072878</v>
      </c>
    </row>
    <row r="16" ht="20.05" customHeight="1">
      <c r="B16" t="s" s="10">
        <v>15</v>
      </c>
      <c r="C16" s="17">
        <f>C9+C10+C12+C15</f>
        <v>-11.4470693852291</v>
      </c>
      <c r="D16" s="18">
        <f>D9+D10+D12+D15</f>
        <v>-11.465481466786</v>
      </c>
      <c r="E16" s="18">
        <f>E9+E10+E12+E15</f>
        <v>-11.5182459107897</v>
      </c>
      <c r="F16" s="18">
        <f>F9+F10+F12+F15</f>
        <v>-10.9810184516818</v>
      </c>
    </row>
    <row r="17" ht="20.05" customHeight="1">
      <c r="B17" t="s" s="10">
        <v>16</v>
      </c>
      <c r="C17" s="17">
        <f>'Balance sheet'!C20</f>
        <v>632.7</v>
      </c>
      <c r="D17" s="18">
        <f>C19</f>
        <v>632.7</v>
      </c>
      <c r="E17" s="18">
        <f>D19</f>
        <v>632.7</v>
      </c>
      <c r="F17" s="18">
        <f>E19</f>
        <v>632.7</v>
      </c>
    </row>
    <row r="18" ht="20.05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05" customHeight="1">
      <c r="B19" t="s" s="10">
        <v>18</v>
      </c>
      <c r="C19" s="17">
        <f>C17+C18</f>
        <v>632.7</v>
      </c>
      <c r="D19" s="18">
        <f>D17+D18</f>
        <v>632.7</v>
      </c>
      <c r="E19" s="18">
        <f>E17+E18</f>
        <v>632.7</v>
      </c>
      <c r="F19" s="18">
        <f>F17+F18</f>
        <v>632.7</v>
      </c>
    </row>
    <row r="20" ht="20.05" customHeight="1">
      <c r="B20" t="s" s="20">
        <v>19</v>
      </c>
      <c r="C20" s="21"/>
      <c r="D20" s="22"/>
      <c r="E20" s="22"/>
      <c r="F20" s="23"/>
    </row>
    <row r="21" ht="20.05" customHeight="1">
      <c r="B21" t="s" s="10">
        <v>20</v>
      </c>
      <c r="C21" s="17">
        <f>-AVERAGE('Sales'!E28)</f>
        <v>-17</v>
      </c>
      <c r="D21" s="18">
        <f>C21</f>
        <v>-17</v>
      </c>
      <c r="E21" s="18">
        <f>D21</f>
        <v>-17</v>
      </c>
      <c r="F21" s="18">
        <f>E21</f>
        <v>-17</v>
      </c>
    </row>
    <row r="22" ht="20.05" customHeight="1">
      <c r="B22" t="s" s="10">
        <v>21</v>
      </c>
      <c r="C22" s="17">
        <f>C6+C8+C21</f>
        <v>31.990231284097</v>
      </c>
      <c r="D22" s="18">
        <f>D6+D8+D21</f>
        <v>33.459938222620</v>
      </c>
      <c r="E22" s="18">
        <f>E6+E8+E21</f>
        <v>34.973736369299</v>
      </c>
      <c r="F22" s="18">
        <f>F6+F8+F21</f>
        <v>34.453999005606</v>
      </c>
    </row>
    <row r="23" ht="20.05" customHeight="1">
      <c r="B23" t="s" s="20">
        <v>22</v>
      </c>
      <c r="C23" s="21"/>
      <c r="D23" s="22"/>
      <c r="E23" s="22"/>
      <c r="F23" s="18"/>
    </row>
    <row r="24" ht="20.05" customHeight="1">
      <c r="B24" t="s" s="10">
        <v>23</v>
      </c>
      <c r="C24" s="17">
        <f>'Balance sheet'!E20+'Balance sheet'!F20-C10</f>
        <v>1300.7</v>
      </c>
      <c r="D24" s="18">
        <f>C24-D10</f>
        <v>1311.1</v>
      </c>
      <c r="E24" s="18">
        <f>D24-E10</f>
        <v>1321.5</v>
      </c>
      <c r="F24" s="18">
        <f>E24-F10</f>
        <v>1331.9</v>
      </c>
    </row>
    <row r="25" ht="20.05" customHeight="1">
      <c r="B25" t="s" s="10">
        <v>24</v>
      </c>
      <c r="C25" s="17">
        <f>'Balance sheet'!F20-C21</f>
        <v>720</v>
      </c>
      <c r="D25" s="18">
        <f>C25-D21</f>
        <v>737</v>
      </c>
      <c r="E25" s="18">
        <f>D25-E21</f>
        <v>754</v>
      </c>
      <c r="F25" s="18">
        <f>E25-F21</f>
        <v>771</v>
      </c>
    </row>
    <row r="26" ht="20.05" customHeight="1">
      <c r="B26" t="s" s="10">
        <v>25</v>
      </c>
      <c r="C26" s="17">
        <f>C24-C25</f>
        <v>580.7</v>
      </c>
      <c r="D26" s="18">
        <f>D24-D25</f>
        <v>574.1</v>
      </c>
      <c r="E26" s="18">
        <f>E24-E25</f>
        <v>567.5</v>
      </c>
      <c r="F26" s="18">
        <f>F24-F25</f>
        <v>560.9</v>
      </c>
    </row>
    <row r="27" ht="20.05" customHeight="1">
      <c r="B27" t="s" s="10">
        <v>26</v>
      </c>
      <c r="C27" s="17">
        <f>'Balance sheet'!G20+C12</f>
        <v>160.55</v>
      </c>
      <c r="D27" s="18">
        <f>C27+D12</f>
        <v>152.5225</v>
      </c>
      <c r="E27" s="18">
        <f>D27+E12</f>
        <v>144.896375</v>
      </c>
      <c r="F27" s="18">
        <f>E27+F12</f>
        <v>137.65155625</v>
      </c>
    </row>
    <row r="28" ht="20.05" customHeight="1">
      <c r="B28" t="s" s="10">
        <v>12</v>
      </c>
      <c r="C28" s="17">
        <f>C13</f>
        <v>11.4470693852291</v>
      </c>
      <c r="D28" s="18">
        <f>C28+D13</f>
        <v>22.9125508520151</v>
      </c>
      <c r="E28" s="18">
        <f>D28+E13</f>
        <v>34.4307967628048</v>
      </c>
      <c r="F28" s="18">
        <f>E28+F13</f>
        <v>45.4118152144866</v>
      </c>
    </row>
    <row r="29" ht="20.05" customHeight="1">
      <c r="B29" t="s" s="10">
        <v>27</v>
      </c>
      <c r="C29" s="17">
        <f>'Balance sheet'!H20+C22+C15</f>
        <v>1041.402930614770</v>
      </c>
      <c r="D29" s="18">
        <f>C29+D22+D15</f>
        <v>1031.364949147980</v>
      </c>
      <c r="E29" s="18">
        <f>D29+E22+E15</f>
        <v>1020.872828237190</v>
      </c>
      <c r="F29" s="18">
        <f>E29+F22+F15</f>
        <v>1010.536628535510</v>
      </c>
    </row>
    <row r="30" ht="20.05" customHeight="1">
      <c r="B30" t="s" s="10">
        <v>28</v>
      </c>
      <c r="C30" s="17">
        <f>C27+C28+C29-C19-C26</f>
        <v>-9e-13</v>
      </c>
      <c r="D30" s="18">
        <f>D27+D28+D29-D19-D26</f>
        <v>-4.9e-12</v>
      </c>
      <c r="E30" s="18">
        <f>E27+E28+E29-E19-E26</f>
        <v>-5.2e-12</v>
      </c>
      <c r="F30" s="18">
        <f>F27+F28+F29-F19-F26</f>
        <v>-3.4e-12</v>
      </c>
    </row>
    <row r="31" ht="20.05" customHeight="1">
      <c r="B31" t="s" s="10">
        <v>29</v>
      </c>
      <c r="C31" s="17">
        <f>C19-C27-C28</f>
        <v>460.702930614771</v>
      </c>
      <c r="D31" s="18">
        <f>D19-D27-D28</f>
        <v>457.264949147985</v>
      </c>
      <c r="E31" s="18">
        <f>E19-E27-E28</f>
        <v>453.372828237195</v>
      </c>
      <c r="F31" s="18">
        <f>F19-F27-F28</f>
        <v>449.636628535513</v>
      </c>
    </row>
    <row r="32" ht="20.05" customHeight="1">
      <c r="B32" t="s" s="20">
        <v>30</v>
      </c>
      <c r="C32" s="17"/>
      <c r="D32" s="18"/>
      <c r="E32" s="18"/>
      <c r="F32" s="18"/>
    </row>
    <row r="33" ht="20.05" customHeight="1">
      <c r="B33" t="s" s="10">
        <v>31</v>
      </c>
      <c r="C33" s="17">
        <f>'Cashflow'!L24-C11</f>
        <v>439.790231284097</v>
      </c>
      <c r="D33" s="18">
        <f>C33-D11</f>
        <v>479.850169506717</v>
      </c>
      <c r="E33" s="18">
        <f>D33-E11</f>
        <v>521.423905876016</v>
      </c>
      <c r="F33" s="18">
        <f>E33-F11</f>
        <v>562.477904881622</v>
      </c>
    </row>
    <row r="34" ht="20.05" customHeight="1">
      <c r="B34" t="s" s="10">
        <v>32</v>
      </c>
      <c r="C34" s="17"/>
      <c r="D34" s="18"/>
      <c r="E34" s="18"/>
      <c r="F34" s="18">
        <v>1612490080256</v>
      </c>
    </row>
    <row r="35" ht="20.05" customHeight="1">
      <c r="B35" t="s" s="10">
        <v>32</v>
      </c>
      <c r="C35" s="17"/>
      <c r="D35" s="18"/>
      <c r="E35" s="18"/>
      <c r="F35" s="18">
        <f>F34/1000000000</f>
        <v>1612.490080256</v>
      </c>
    </row>
    <row r="36" ht="20.05" customHeight="1">
      <c r="B36" t="s" s="10">
        <v>33</v>
      </c>
      <c r="C36" s="17"/>
      <c r="D36" s="18"/>
      <c r="E36" s="18"/>
      <c r="F36" s="24">
        <f>F35/(F19+F26)</f>
        <v>1.3509467830563</v>
      </c>
    </row>
    <row r="37" ht="20.05" customHeight="1">
      <c r="B37" t="s" s="10">
        <v>34</v>
      </c>
      <c r="C37" s="17"/>
      <c r="D37" s="18"/>
      <c r="E37" s="18"/>
      <c r="F37" s="16">
        <f>-(C15+D15+E15+F15)/F35</f>
        <v>0.108739444969653</v>
      </c>
    </row>
    <row r="38" ht="20.05" customHeight="1">
      <c r="B38" t="s" s="10">
        <v>3</v>
      </c>
      <c r="C38" s="17"/>
      <c r="D38" s="18"/>
      <c r="E38" s="18"/>
      <c r="F38" s="18">
        <f>SUM(C9:F10)</f>
        <v>161.277904881622</v>
      </c>
    </row>
    <row r="39" ht="20.05" customHeight="1">
      <c r="B39" t="s" s="10">
        <v>35</v>
      </c>
      <c r="C39" s="17"/>
      <c r="D39" s="18"/>
      <c r="E39" s="18"/>
      <c r="F39" s="18">
        <f>'Balance sheet'!E20/F38</f>
        <v>3.64154036122356</v>
      </c>
    </row>
    <row r="40" ht="20.05" customHeight="1">
      <c r="B40" t="s" s="10">
        <v>30</v>
      </c>
      <c r="C40" s="17"/>
      <c r="D40" s="18"/>
      <c r="E40" s="18"/>
      <c r="F40" s="18">
        <f>F35/F38</f>
        <v>9.998208256980821</v>
      </c>
    </row>
    <row r="41" ht="20.05" customHeight="1">
      <c r="B41" t="s" s="10">
        <v>36</v>
      </c>
      <c r="C41" s="17"/>
      <c r="D41" s="18"/>
      <c r="E41" s="18"/>
      <c r="F41" s="18">
        <v>19</v>
      </c>
    </row>
    <row r="42" ht="20.05" customHeight="1">
      <c r="B42" t="s" s="10">
        <v>37</v>
      </c>
      <c r="C42" s="17"/>
      <c r="D42" s="18"/>
      <c r="E42" s="18"/>
      <c r="F42" s="18">
        <f>F38*F41</f>
        <v>3064.280192750820</v>
      </c>
    </row>
    <row r="43" ht="20.05" customHeight="1">
      <c r="B43" t="s" s="10">
        <v>38</v>
      </c>
      <c r="C43" s="17"/>
      <c r="D43" s="18"/>
      <c r="E43" s="18"/>
      <c r="F43" s="18">
        <f>F35/F45</f>
        <v>5.88500029290511</v>
      </c>
    </row>
    <row r="44" ht="20.05" customHeight="1">
      <c r="B44" t="s" s="10">
        <v>39</v>
      </c>
      <c r="C44" s="17"/>
      <c r="D44" s="18"/>
      <c r="E44" s="18"/>
      <c r="F44" s="18">
        <f>F42/F43</f>
        <v>520.693294857620</v>
      </c>
    </row>
    <row r="45" ht="20.05" customHeight="1">
      <c r="B45" t="s" s="10">
        <v>40</v>
      </c>
      <c r="C45" s="17"/>
      <c r="D45" s="18"/>
      <c r="E45" s="18"/>
      <c r="F45" s="18">
        <v>274</v>
      </c>
    </row>
    <row r="46" ht="20.05" customHeight="1">
      <c r="B46" t="s" s="10">
        <v>41</v>
      </c>
      <c r="C46" s="17"/>
      <c r="D46" s="18"/>
      <c r="E46" s="18"/>
      <c r="F46" s="16">
        <f>F44/F45-1</f>
        <v>0.900340492181095</v>
      </c>
    </row>
    <row r="47" ht="20.05" customHeight="1">
      <c r="B47" t="s" s="10">
        <v>42</v>
      </c>
      <c r="C47" s="17"/>
      <c r="D47" s="18"/>
      <c r="E47" s="18"/>
      <c r="F47" s="16">
        <f>'Sales'!C28/'Sales'!C24-1</f>
        <v>0.111587982832618</v>
      </c>
    </row>
    <row r="48" ht="20.05" customHeight="1">
      <c r="B48" t="s" s="10">
        <v>43</v>
      </c>
      <c r="C48" s="17"/>
      <c r="D48" s="18"/>
      <c r="E48" s="18"/>
      <c r="F48" s="16">
        <f>'Sales'!F31/'Sales'!E31-1</f>
        <v>0.0455392289493439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5" customWidth="1"/>
    <col min="2" max="2" width="8.08594" style="25" customWidth="1"/>
    <col min="3" max="10" width="10.5078" style="25" customWidth="1"/>
    <col min="11" max="16384" width="16.3516" style="25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21</v>
      </c>
      <c r="G3" t="s" s="5">
        <v>44</v>
      </c>
      <c r="H3" t="s" s="5">
        <v>45</v>
      </c>
      <c r="I3" t="s" s="5">
        <v>45</v>
      </c>
      <c r="J3" t="s" s="5">
        <v>36</v>
      </c>
    </row>
    <row r="4" ht="20.25" customHeight="1">
      <c r="B4" s="26">
        <v>2016</v>
      </c>
      <c r="C4" s="27">
        <f t="shared" si="0" ref="C4:C5">434.8/2</f>
        <v>217.4</v>
      </c>
      <c r="D4" s="8"/>
      <c r="E4" s="28"/>
      <c r="F4" s="28"/>
      <c r="G4" s="9"/>
      <c r="H4" s="9"/>
      <c r="I4" s="9"/>
      <c r="J4" s="9"/>
    </row>
    <row r="5" ht="20.05" customHeight="1">
      <c r="B5" s="29"/>
      <c r="C5" s="13">
        <f t="shared" si="0"/>
        <v>217.4</v>
      </c>
      <c r="D5" s="23"/>
      <c r="E5" s="14"/>
      <c r="F5" s="14"/>
      <c r="G5" s="16">
        <f>C5/C4-1</f>
        <v>0</v>
      </c>
      <c r="H5" s="12"/>
      <c r="I5" s="12"/>
      <c r="J5" s="12"/>
    </row>
    <row r="6" ht="20.05" customHeight="1">
      <c r="B6" s="29"/>
      <c r="C6" s="21">
        <f>C7</f>
        <v>247.85</v>
      </c>
      <c r="D6" s="23"/>
      <c r="E6" s="14"/>
      <c r="F6" s="14"/>
      <c r="G6" s="16">
        <f>C6/C5-1</f>
        <v>0.140064397424103</v>
      </c>
      <c r="H6" s="12"/>
      <c r="I6" s="12"/>
      <c r="J6" s="12"/>
    </row>
    <row r="7" ht="20.05" customHeight="1">
      <c r="B7" s="29"/>
      <c r="C7" s="21">
        <f>(930.5-434.8)/2</f>
        <v>247.85</v>
      </c>
      <c r="D7" s="23"/>
      <c r="E7" s="14">
        <f>1.6+57.3</f>
        <v>58.9</v>
      </c>
      <c r="F7" s="14">
        <f>52.726-SUM(F4:F6)</f>
        <v>52.726</v>
      </c>
      <c r="G7" s="16">
        <f>C7/C6-1</f>
        <v>0</v>
      </c>
      <c r="H7" s="12"/>
      <c r="I7" s="12"/>
      <c r="J7" s="12"/>
    </row>
    <row r="8" ht="20.05" customHeight="1">
      <c r="B8" s="30">
        <v>2017</v>
      </c>
      <c r="C8" s="13">
        <v>214.156</v>
      </c>
      <c r="D8" s="23"/>
      <c r="E8" s="14"/>
      <c r="F8" s="14">
        <v>9.138</v>
      </c>
      <c r="G8" s="16">
        <f>C8/C7-1</f>
        <v>-0.135945128101674</v>
      </c>
      <c r="H8" s="16">
        <f>(E8+F8-C8)/C8</f>
        <v>-0.957330170529894</v>
      </c>
      <c r="I8" s="12"/>
      <c r="J8" s="12"/>
    </row>
    <row r="9" ht="20.05" customHeight="1">
      <c r="B9" s="29"/>
      <c r="C9" s="13">
        <f>480.781-C8</f>
        <v>266.625</v>
      </c>
      <c r="D9" s="23"/>
      <c r="E9" s="14">
        <f>31.2-E8</f>
        <v>31.2</v>
      </c>
      <c r="F9" s="14">
        <f>9.982-F8</f>
        <v>0.844</v>
      </c>
      <c r="G9" s="16">
        <f>C9/C8-1</f>
        <v>0.245003642204748</v>
      </c>
      <c r="H9" s="16">
        <f>(E9+F9-C9)/C9</f>
        <v>-0.879816221284576</v>
      </c>
      <c r="I9" s="12"/>
      <c r="J9" s="12"/>
    </row>
    <row r="10" ht="20.05" customHeight="1">
      <c r="B10" s="29"/>
      <c r="C10" s="13">
        <f>737.378-SUM(C8:C9)</f>
        <v>256.597</v>
      </c>
      <c r="D10" s="23"/>
      <c r="E10" s="14"/>
      <c r="F10" s="14">
        <f>37.732-SUM(F8:F9)</f>
        <v>27.75</v>
      </c>
      <c r="G10" s="16">
        <f>C10/C9-1</f>
        <v>-0.0376108766994843</v>
      </c>
      <c r="H10" s="16">
        <f>(E10+F10-C10)/C10</f>
        <v>-0.891853762904477</v>
      </c>
      <c r="I10" s="12"/>
      <c r="J10" s="12"/>
    </row>
    <row r="11" ht="20.05" customHeight="1">
      <c r="B11" s="29"/>
      <c r="C11" s="13">
        <f>944.837-SUM(C8:C10)</f>
        <v>207.459</v>
      </c>
      <c r="D11" s="23"/>
      <c r="E11" s="14">
        <f>1.6+64.8-SUM(E8:E10)</f>
        <v>35.2</v>
      </c>
      <c r="F11" s="14">
        <f>43.421-SUM(F8:F10)</f>
        <v>5.689</v>
      </c>
      <c r="G11" s="16">
        <f>C11/C10-1</f>
        <v>-0.191498731473868</v>
      </c>
      <c r="H11" s="16">
        <f>(E11+F11-C11)/C11</f>
        <v>-0.802905634366309</v>
      </c>
      <c r="I11" s="12"/>
      <c r="J11" s="12"/>
    </row>
    <row r="12" ht="20.05" customHeight="1">
      <c r="B12" s="30">
        <v>2018</v>
      </c>
      <c r="C12" s="13">
        <v>219.032</v>
      </c>
      <c r="D12" s="23"/>
      <c r="E12" s="14">
        <f>0.4+17.1</f>
        <v>17.5</v>
      </c>
      <c r="F12" s="14">
        <v>18.26</v>
      </c>
      <c r="G12" s="16">
        <f>C12/C11-1</f>
        <v>0.0557845164586738</v>
      </c>
      <c r="H12" s="16">
        <f>(E12+F12-C12)/C12</f>
        <v>-0.836736184667081</v>
      </c>
      <c r="I12" s="16">
        <f>AVERAGE(H9:H12)</f>
        <v>-0.852827950805611</v>
      </c>
      <c r="J12" s="16"/>
    </row>
    <row r="13" ht="20.05" customHeight="1">
      <c r="B13" s="29"/>
      <c r="C13" s="13">
        <f>488.345-C12</f>
        <v>269.313</v>
      </c>
      <c r="D13" s="23"/>
      <c r="E13" s="14">
        <f>0.8+34.4-E12</f>
        <v>17.7</v>
      </c>
      <c r="F13" s="14">
        <f>32.476-F12</f>
        <v>14.216</v>
      </c>
      <c r="G13" s="16">
        <f>C13/C12-1</f>
        <v>0.229560064282845</v>
      </c>
      <c r="H13" s="16">
        <f>(E13+F13-C13)/C13</f>
        <v>-0.881491053161192</v>
      </c>
      <c r="I13" s="16">
        <f>AVERAGE(H10:H13)</f>
        <v>-0.853246658774765</v>
      </c>
      <c r="J13" s="16"/>
    </row>
    <row r="14" ht="20.05" customHeight="1">
      <c r="B14" s="29"/>
      <c r="C14" s="13">
        <f>717.084-SUM(C12:C13)</f>
        <v>228.739</v>
      </c>
      <c r="D14" s="23"/>
      <c r="E14" s="14">
        <f>1.2+52-SUM(E12:E13)</f>
        <v>18</v>
      </c>
      <c r="F14" s="14">
        <f>44.549-SUM(F12:F13)</f>
        <v>12.073</v>
      </c>
      <c r="G14" s="16">
        <f>C14/C13-1</f>
        <v>-0.15065741349285</v>
      </c>
      <c r="H14" s="16">
        <f>(E14+F14-C14)/C14</f>
        <v>-0.868527011134962</v>
      </c>
      <c r="I14" s="16">
        <f>AVERAGE(H11:H14)</f>
        <v>-0.847414970832386</v>
      </c>
      <c r="J14" s="16"/>
    </row>
    <row r="15" ht="20.05" customHeight="1">
      <c r="B15" s="29"/>
      <c r="C15" s="13">
        <f>961.136-SUM(C12:C14)</f>
        <v>244.052</v>
      </c>
      <c r="D15" s="23"/>
      <c r="E15" s="14">
        <f>70.7+1.6-SUM(E12:E14)</f>
        <v>19.1</v>
      </c>
      <c r="F15" s="14">
        <f>61.947-SUM(F12:F14)</f>
        <v>17.398</v>
      </c>
      <c r="G15" s="16">
        <f>C15/C14-1</f>
        <v>0.0669452957300679</v>
      </c>
      <c r="H15" s="16">
        <f>(E15+F15-C15)/C15</f>
        <v>-0.850449904118794</v>
      </c>
      <c r="I15" s="16">
        <f>AVERAGE(H12:H15)</f>
        <v>-0.859301038270507</v>
      </c>
      <c r="J15" s="16"/>
    </row>
    <row r="16" ht="20.05" customHeight="1">
      <c r="B16" s="30">
        <v>2019</v>
      </c>
      <c r="C16" s="13">
        <v>220.482</v>
      </c>
      <c r="D16" s="23"/>
      <c r="E16" s="14">
        <f>17.8+0.4</f>
        <v>18.2</v>
      </c>
      <c r="F16" s="14">
        <v>18.092</v>
      </c>
      <c r="G16" s="16">
        <f>C16/C15-1</f>
        <v>-0.09657777850622</v>
      </c>
      <c r="H16" s="16">
        <f>(E16+F16-C16)/C16</f>
        <v>-0.835396993858909</v>
      </c>
      <c r="I16" s="16">
        <f>AVERAGE(H13:H16)</f>
        <v>-0.858966240568464</v>
      </c>
      <c r="J16" s="16"/>
    </row>
    <row r="17" ht="20.05" customHeight="1">
      <c r="B17" s="29"/>
      <c r="C17" s="13">
        <f>503.479-C16</f>
        <v>282.997</v>
      </c>
      <c r="D17" s="23"/>
      <c r="E17" s="14">
        <f>36.2+0.8-E16</f>
        <v>18.8</v>
      </c>
      <c r="F17" s="14">
        <f>31.754-F16</f>
        <v>13.662</v>
      </c>
      <c r="G17" s="16">
        <f>C17/C16-1</f>
        <v>0.283537885178835</v>
      </c>
      <c r="H17" s="16">
        <f>(E17+F17-C17)/C17</f>
        <v>-0.8852920702339599</v>
      </c>
      <c r="I17" s="16">
        <f>AVERAGE(H14:H17)</f>
        <v>-0.859916494836656</v>
      </c>
      <c r="J17" s="16"/>
    </row>
    <row r="18" ht="20.05" customHeight="1">
      <c r="B18" s="29"/>
      <c r="C18" s="13">
        <f>768.465-SUM(C16:C17)</f>
        <v>264.986</v>
      </c>
      <c r="D18" s="23"/>
      <c r="E18" s="14">
        <f>1.2+54.5-SUM(E16:E17)</f>
        <v>18.7</v>
      </c>
      <c r="F18" s="14">
        <f>51.576-SUM(F16:F17)</f>
        <v>19.822</v>
      </c>
      <c r="G18" s="16">
        <f>C18/C17-1</f>
        <v>-0.06364378420972661</v>
      </c>
      <c r="H18" s="16">
        <f>(E18+F18-C18)/C18</f>
        <v>-0.854626282143208</v>
      </c>
      <c r="I18" s="16">
        <f>AVERAGE(H15:H18)</f>
        <v>-0.856441312588718</v>
      </c>
      <c r="J18" s="16"/>
    </row>
    <row r="19" ht="20.05" customHeight="1">
      <c r="B19" s="29"/>
      <c r="C19" s="13">
        <f>1028.952-SUM(C16:C18)</f>
        <v>260.487</v>
      </c>
      <c r="D19" s="23"/>
      <c r="E19" s="14">
        <f>1.6+73-SUM(E16:E18)</f>
        <v>18.9</v>
      </c>
      <c r="F19" s="14">
        <f>76.758-SUM(F16:F18)</f>
        <v>25.182</v>
      </c>
      <c r="G19" s="16">
        <f>C19/C18-1</f>
        <v>-0.0169782554550052</v>
      </c>
      <c r="H19" s="16">
        <f>(E19+F19-C19)/C19</f>
        <v>-0.830770825415472</v>
      </c>
      <c r="I19" s="16">
        <f>AVERAGE(H16:H19)</f>
        <v>-0.851521542912887</v>
      </c>
      <c r="J19" s="16"/>
    </row>
    <row r="20" ht="20.05" customHeight="1">
      <c r="B20" s="30">
        <v>2020</v>
      </c>
      <c r="C20" s="13">
        <v>211.836</v>
      </c>
      <c r="D20" s="23"/>
      <c r="E20" s="14">
        <f>18.4+0.4</f>
        <v>18.8</v>
      </c>
      <c r="F20" s="14">
        <v>11.65</v>
      </c>
      <c r="G20" s="16">
        <f>C20/C19-1</f>
        <v>-0.186769397321171</v>
      </c>
      <c r="H20" s="16">
        <f>(E20+F20-C20)/C20</f>
        <v>-0.856256726901943</v>
      </c>
      <c r="I20" s="16">
        <f>AVERAGE(H17:H20)</f>
        <v>-0.856736476173646</v>
      </c>
      <c r="J20" s="16"/>
    </row>
    <row r="21" ht="20.05" customHeight="1">
      <c r="B21" s="29"/>
      <c r="C21" s="13">
        <f>459.019-C20</f>
        <v>247.183</v>
      </c>
      <c r="D21" s="23"/>
      <c r="E21" s="14">
        <f>39.1+0.8-E20</f>
        <v>21.1</v>
      </c>
      <c r="F21" s="14">
        <f>14.93-F20</f>
        <v>3.28</v>
      </c>
      <c r="G21" s="16">
        <f>C21/C20-1</f>
        <v>0.166860212617308</v>
      </c>
      <c r="H21" s="16">
        <f>(E21+F21-C21)/C21</f>
        <v>-0.9013686216285099</v>
      </c>
      <c r="I21" s="16">
        <f>AVERAGE(H18:H21)</f>
        <v>-0.860755614022283</v>
      </c>
      <c r="J21" s="16"/>
    </row>
    <row r="22" ht="20.05" customHeight="1">
      <c r="B22" s="29"/>
      <c r="C22" s="13">
        <f>712.51-SUM(C20:C21)</f>
        <v>253.491</v>
      </c>
      <c r="D22" s="14">
        <v>251.385111</v>
      </c>
      <c r="E22" s="14">
        <f>58+1-SUM(E20:E21)</f>
        <v>19.1</v>
      </c>
      <c r="F22" s="14">
        <f>22.825-SUM(F20:F21)</f>
        <v>7.895</v>
      </c>
      <c r="G22" s="16">
        <f>C22/C21-1</f>
        <v>0.0255195543382838</v>
      </c>
      <c r="H22" s="16">
        <f>(E22+F22-C22)/C22</f>
        <v>-0.893507067312054</v>
      </c>
      <c r="I22" s="16">
        <f>AVERAGE(H19:H22)</f>
        <v>-0.8704758103144949</v>
      </c>
      <c r="J22" s="16"/>
    </row>
    <row r="23" ht="20.05" customHeight="1">
      <c r="B23" s="29"/>
      <c r="C23" s="13">
        <f>956.6-SUM(C20:C22)</f>
        <v>244.09</v>
      </c>
      <c r="D23" s="14">
        <v>271.23537</v>
      </c>
      <c r="E23" s="14">
        <f>2.1+1.6+78.2-SUM(E20:E22)</f>
        <v>22.9</v>
      </c>
      <c r="F23" s="14">
        <f>44-SUM(F20:F22)</f>
        <v>21.175</v>
      </c>
      <c r="G23" s="16">
        <f>C23/C22-1</f>
        <v>-0.0370861292905863</v>
      </c>
      <c r="H23" s="16">
        <f>(E23+F23-C23)/C23</f>
        <v>-0.8194313572862471</v>
      </c>
      <c r="I23" s="16">
        <f>AVERAGE(H20:H23)</f>
        <v>-0.867640943282189</v>
      </c>
      <c r="J23" s="16"/>
    </row>
    <row r="24" ht="20.05" customHeight="1">
      <c r="B24" s="30">
        <v>2021</v>
      </c>
      <c r="C24" s="31">
        <v>233</v>
      </c>
      <c r="D24" s="14">
        <v>265.8106626</v>
      </c>
      <c r="E24" s="32">
        <v>18</v>
      </c>
      <c r="F24" s="14">
        <v>17</v>
      </c>
      <c r="G24" s="16">
        <f>C24/C23-1</f>
        <v>-0.0454340612069319</v>
      </c>
      <c r="H24" s="16">
        <f>(E24+F24-C24)/C24</f>
        <v>-0.849785407725322</v>
      </c>
      <c r="I24" s="16">
        <f>AVERAGE(H21:H24)</f>
        <v>-0.866023113488033</v>
      </c>
      <c r="J24" s="16"/>
    </row>
    <row r="25" ht="20.05" customHeight="1">
      <c r="B25" s="29"/>
      <c r="C25" s="17">
        <f>500.8-C24</f>
        <v>267.8</v>
      </c>
      <c r="D25" s="14">
        <v>279.6</v>
      </c>
      <c r="E25" s="14">
        <f>0.8+1.7+35.6-E24</f>
        <v>20.1</v>
      </c>
      <c r="F25" s="14">
        <f>50-F24</f>
        <v>33</v>
      </c>
      <c r="G25" s="16">
        <f>C25/C24-1</f>
        <v>0.149356223175966</v>
      </c>
      <c r="H25" s="16">
        <f>(E25+F25-C25)/C25</f>
        <v>-0.801717699775952</v>
      </c>
      <c r="I25" s="16">
        <f>AVERAGE(H22:H25)</f>
        <v>-0.841110383024894</v>
      </c>
      <c r="J25" s="16"/>
    </row>
    <row r="26" ht="20.05" customHeight="1">
      <c r="B26" s="29"/>
      <c r="C26" s="17">
        <f>761.3-SUM(C24:C25)</f>
        <v>260.5</v>
      </c>
      <c r="D26" s="14">
        <v>259.766</v>
      </c>
      <c r="E26" s="14">
        <f>2.6+1.2+52.7-SUM(E24:E25)</f>
        <v>18.4</v>
      </c>
      <c r="F26" s="14">
        <f>81.4-SUM(F24:F25)</f>
        <v>31.4</v>
      </c>
      <c r="G26" s="16">
        <f>C26/C25-1</f>
        <v>-0.0272591486183719</v>
      </c>
      <c r="H26" s="16">
        <f>(E26+F26-C26)/C26</f>
        <v>-0.808829174664107</v>
      </c>
      <c r="I26" s="16">
        <f>AVERAGE(H23:H26)</f>
        <v>-0.819940909862907</v>
      </c>
      <c r="J26" s="16"/>
    </row>
    <row r="27" ht="20.05" customHeight="1">
      <c r="B27" s="29"/>
      <c r="C27" s="17">
        <f>1019.1-SUM(C24:C26)</f>
        <v>257.8</v>
      </c>
      <c r="D27" s="14">
        <v>273.525</v>
      </c>
      <c r="E27" s="14">
        <f>3.5+1.6+62.3+7.5-SUM(E24:E26)</f>
        <v>18.4</v>
      </c>
      <c r="F27" s="14">
        <f>100.1-SUM(F24:F26)</f>
        <v>18.7</v>
      </c>
      <c r="G27" s="16">
        <f>C27/C26-1</f>
        <v>-0.0103646833013436</v>
      </c>
      <c r="H27" s="16">
        <f>(E27+F27-C27)/C27</f>
        <v>-0.856089992242048</v>
      </c>
      <c r="I27" s="16">
        <f>AVERAGE(H24:H27)</f>
        <v>-0.829105568601857</v>
      </c>
      <c r="J27" s="16"/>
    </row>
    <row r="28" ht="20.05" customHeight="1">
      <c r="B28" s="30">
        <v>2022</v>
      </c>
      <c r="C28" s="31">
        <v>259</v>
      </c>
      <c r="D28" s="14">
        <v>255.222</v>
      </c>
      <c r="E28" s="14">
        <v>17</v>
      </c>
      <c r="F28" s="14">
        <v>28</v>
      </c>
      <c r="G28" s="16">
        <f>C28/C27-1</f>
        <v>0.00465477114041893</v>
      </c>
      <c r="H28" s="16">
        <f>(E28+F28-C28)/C28</f>
        <v>-0.826254826254826</v>
      </c>
      <c r="I28" s="16">
        <f>AVERAGE(H25:H28)</f>
        <v>-0.823222923234233</v>
      </c>
      <c r="J28" s="12">
        <v>-0.829105568601857</v>
      </c>
    </row>
    <row r="29" ht="20.05" customHeight="1">
      <c r="B29" s="29"/>
      <c r="C29" s="33"/>
      <c r="D29" s="14">
        <f>'Model'!C6</f>
        <v>277.13</v>
      </c>
      <c r="E29" s="14"/>
      <c r="F29" s="14"/>
      <c r="G29" s="12"/>
      <c r="H29" s="12"/>
      <c r="I29" s="12"/>
      <c r="J29" s="12">
        <f>'Model'!C7</f>
        <v>-0.823222923234233</v>
      </c>
    </row>
    <row r="30" ht="20.05" customHeight="1">
      <c r="B30" s="29"/>
      <c r="C30" s="33"/>
      <c r="D30" s="14">
        <f>'Model'!D6</f>
        <v>285.4439</v>
      </c>
      <c r="E30" s="14"/>
      <c r="F30" s="14"/>
      <c r="G30" s="12"/>
      <c r="H30" s="12"/>
      <c r="I30" s="12"/>
      <c r="J30" s="12"/>
    </row>
    <row r="31" ht="20.05" customHeight="1">
      <c r="B31" s="29"/>
      <c r="C31" s="33"/>
      <c r="D31" s="14">
        <f>'Model'!E6</f>
        <v>294.007217</v>
      </c>
      <c r="E31" s="14">
        <f>SUM(C22:C28)</f>
        <v>1775.681</v>
      </c>
      <c r="F31" s="14">
        <f>SUM(D22:D28)</f>
        <v>1856.5441436</v>
      </c>
      <c r="G31" s="12"/>
      <c r="H31" s="12"/>
      <c r="I31" s="12"/>
      <c r="J31" s="12"/>
    </row>
    <row r="32" ht="20.05" customHeight="1">
      <c r="B32" s="30">
        <v>2023</v>
      </c>
      <c r="C32" s="33"/>
      <c r="D32" s="14">
        <f>'Model'!F6</f>
        <v>291.06714483</v>
      </c>
      <c r="E32" s="14"/>
      <c r="F32" s="14"/>
      <c r="G32" s="12"/>
      <c r="H32" s="12"/>
      <c r="I32" s="12"/>
      <c r="J32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4" customWidth="1"/>
    <col min="2" max="2" width="8.00781" style="34" customWidth="1"/>
    <col min="3" max="14" width="10.0703" style="34" customWidth="1"/>
    <col min="15" max="16384" width="16.3516" style="34" customWidth="1"/>
  </cols>
  <sheetData>
    <row r="1" ht="36.4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11</v>
      </c>
      <c r="G3" t="s" s="5">
        <v>14</v>
      </c>
      <c r="H3" t="s" s="5">
        <v>10</v>
      </c>
      <c r="I3" t="s" s="5">
        <v>49</v>
      </c>
      <c r="J3" t="s" s="5">
        <v>3</v>
      </c>
      <c r="K3" t="s" s="5">
        <v>36</v>
      </c>
      <c r="L3" t="s" s="5">
        <v>31</v>
      </c>
      <c r="M3" t="s" s="5">
        <v>36</v>
      </c>
      <c r="N3" s="35"/>
    </row>
    <row r="4" ht="20.25" customHeight="1">
      <c r="B4" s="26">
        <v>2017</v>
      </c>
      <c r="C4" s="36">
        <v>243.623</v>
      </c>
      <c r="D4" s="37">
        <v>49.231</v>
      </c>
      <c r="E4" s="37">
        <f>-18.224</f>
        <v>-18.224</v>
      </c>
      <c r="F4" s="37"/>
      <c r="G4" s="37"/>
      <c r="H4" s="37">
        <v>0</v>
      </c>
      <c r="I4" s="37">
        <f>D4+E4</f>
        <v>31.007</v>
      </c>
      <c r="J4" s="37"/>
      <c r="K4" s="37"/>
      <c r="L4" s="37"/>
      <c r="M4" s="37"/>
      <c r="N4" s="37">
        <v>1</v>
      </c>
    </row>
    <row r="5" ht="20.05" customHeight="1">
      <c r="B5" s="29"/>
      <c r="C5" s="17">
        <f>452.172-C4</f>
        <v>208.549</v>
      </c>
      <c r="D5" s="18">
        <f>43.503-D4</f>
        <v>-5.728</v>
      </c>
      <c r="E5" s="18">
        <f>-31.125-E4</f>
        <v>-12.901</v>
      </c>
      <c r="F5" s="18"/>
      <c r="G5" s="18"/>
      <c r="H5" s="18">
        <v>0</v>
      </c>
      <c r="I5" s="18">
        <f>D5+E5</f>
        <v>-18.629</v>
      </c>
      <c r="J5" s="18"/>
      <c r="K5" s="18"/>
      <c r="L5" s="18"/>
      <c r="M5" s="18"/>
      <c r="N5" s="18">
        <f>1+N4</f>
        <v>2</v>
      </c>
    </row>
    <row r="6" ht="20.05" customHeight="1">
      <c r="B6" s="29"/>
      <c r="C6" s="17">
        <f>757.52-SUM(C4:C5)</f>
        <v>305.348</v>
      </c>
      <c r="D6" s="18">
        <f>106.352-SUM(D4:D5)</f>
        <v>62.849</v>
      </c>
      <c r="E6" s="18">
        <f>-50.226-SUM(E4:E5)</f>
        <v>-19.101</v>
      </c>
      <c r="F6" s="18"/>
      <c r="G6" s="18"/>
      <c r="H6" s="18">
        <f>-100-SUM(H4:H5)</f>
        <v>-100</v>
      </c>
      <c r="I6" s="18">
        <f>D6+E6</f>
        <v>43.748</v>
      </c>
      <c r="J6" s="18"/>
      <c r="K6" s="18"/>
      <c r="L6" s="18">
        <f>-H6+L5</f>
        <v>100</v>
      </c>
      <c r="M6" s="18"/>
      <c r="N6" s="18">
        <f>1+N5</f>
        <v>3</v>
      </c>
    </row>
    <row r="7" ht="20.05" customHeight="1">
      <c r="B7" s="29"/>
      <c r="C7" s="17">
        <f>936.719-SUM(C4:C6)</f>
        <v>179.199</v>
      </c>
      <c r="D7" s="18">
        <f>29.589-SUM(D4:D6)</f>
        <v>-76.76300000000001</v>
      </c>
      <c r="E7" s="18">
        <f>225.108-SUM(E4:E6)</f>
        <v>275.334</v>
      </c>
      <c r="F7" s="18"/>
      <c r="G7" s="18"/>
      <c r="H7" s="18">
        <f>-100-SUM(H4:H6)</f>
        <v>0</v>
      </c>
      <c r="I7" s="18">
        <f>D7+E7</f>
        <v>198.571</v>
      </c>
      <c r="J7" s="18"/>
      <c r="K7" s="18"/>
      <c r="L7" s="18">
        <f>-H7+L6</f>
        <v>100</v>
      </c>
      <c r="M7" s="18"/>
      <c r="N7" s="18">
        <f>1+N6</f>
        <v>4</v>
      </c>
    </row>
    <row r="8" ht="20.05" customHeight="1">
      <c r="B8" s="30">
        <v>2018</v>
      </c>
      <c r="C8" s="17">
        <v>226.469</v>
      </c>
      <c r="D8" s="18">
        <v>50.629</v>
      </c>
      <c r="E8" s="18">
        <v>-20.068</v>
      </c>
      <c r="F8" s="18"/>
      <c r="G8" s="18"/>
      <c r="H8" s="18">
        <f>-260</f>
        <v>-260</v>
      </c>
      <c r="I8" s="18">
        <f>D8+E8</f>
        <v>30.561</v>
      </c>
      <c r="J8" s="18">
        <f>AVERAGE(I5,I6,I8)</f>
        <v>18.56</v>
      </c>
      <c r="K8" s="18"/>
      <c r="L8" s="18">
        <f>-H8+L7</f>
        <v>360</v>
      </c>
      <c r="M8" s="18"/>
      <c r="N8" s="18">
        <f>1+N7</f>
        <v>5</v>
      </c>
    </row>
    <row r="9" ht="20.05" customHeight="1">
      <c r="B9" s="29"/>
      <c r="C9" s="17">
        <f>435.792-C8</f>
        <v>209.323</v>
      </c>
      <c r="D9" s="18">
        <f>49.11-D8</f>
        <v>-1.519</v>
      </c>
      <c r="E9" s="18">
        <f>-33.079-E8</f>
        <v>-13.011</v>
      </c>
      <c r="F9" s="18"/>
      <c r="G9" s="18"/>
      <c r="H9" s="18">
        <f>-260-H8</f>
        <v>0</v>
      </c>
      <c r="I9" s="18">
        <f>D9+E9</f>
        <v>-14.53</v>
      </c>
      <c r="J9" s="18">
        <f>AVERAGE(I6,I8,I9)</f>
        <v>19.9263333333333</v>
      </c>
      <c r="K9" s="18"/>
      <c r="L9" s="18">
        <f>-H9+L8</f>
        <v>360</v>
      </c>
      <c r="M9" s="18"/>
      <c r="N9" s="18">
        <f>1+N8</f>
        <v>6</v>
      </c>
    </row>
    <row r="10" ht="20.05" customHeight="1">
      <c r="B10" s="29"/>
      <c r="C10" s="17">
        <f>700.782-SUM(C8:C9)</f>
        <v>264.99</v>
      </c>
      <c r="D10" s="18">
        <f>86.953-SUM(D8:D9)</f>
        <v>37.843</v>
      </c>
      <c r="E10" s="18">
        <f>-46.279-SUM(E8:E9)</f>
        <v>-13.2</v>
      </c>
      <c r="F10" s="18"/>
      <c r="G10" s="18"/>
      <c r="H10" s="18">
        <f>-277.654-SUM(H8:H9)</f>
        <v>-17.654</v>
      </c>
      <c r="I10" s="18">
        <f>D10+E10</f>
        <v>24.643</v>
      </c>
      <c r="J10" s="18">
        <f>AVERAGE(I8,I9,I10)</f>
        <v>13.558</v>
      </c>
      <c r="K10" s="18"/>
      <c r="L10" s="18">
        <f>-H10+L9</f>
        <v>377.654</v>
      </c>
      <c r="M10" s="18"/>
      <c r="N10" s="18">
        <f>1+N9</f>
        <v>7</v>
      </c>
    </row>
    <row r="11" ht="20.05" customHeight="1">
      <c r="B11" s="29"/>
      <c r="C11" s="17">
        <f>937.827-SUM(C8:C10)</f>
        <v>237.045</v>
      </c>
      <c r="D11" s="18">
        <f>103.821-SUM(D8:D10)</f>
        <v>16.868</v>
      </c>
      <c r="E11" s="18">
        <f>-82.801-SUM(E8:E10)</f>
        <v>-36.522</v>
      </c>
      <c r="F11" s="18"/>
      <c r="G11" s="18"/>
      <c r="H11" s="18">
        <f>-260-SUM(H8:H10)</f>
        <v>17.654</v>
      </c>
      <c r="I11" s="18">
        <f>D11+E11</f>
        <v>-19.654</v>
      </c>
      <c r="J11" s="18">
        <f>AVERAGE(I8:I11)</f>
        <v>5.255</v>
      </c>
      <c r="K11" s="18"/>
      <c r="L11" s="18">
        <f>-H11+L10</f>
        <v>360</v>
      </c>
      <c r="M11" s="18"/>
      <c r="N11" s="18">
        <f>1+N10</f>
        <v>8</v>
      </c>
    </row>
    <row r="12" ht="20.05" customHeight="1">
      <c r="B12" s="30">
        <v>2019</v>
      </c>
      <c r="C12" s="17">
        <v>229.602</v>
      </c>
      <c r="D12" s="18">
        <v>28.99</v>
      </c>
      <c r="E12" s="18">
        <v>-11.379</v>
      </c>
      <c r="F12" s="18"/>
      <c r="G12" s="18"/>
      <c r="H12" s="18">
        <v>0</v>
      </c>
      <c r="I12" s="18">
        <f>D12+E12</f>
        <v>17.611</v>
      </c>
      <c r="J12" s="18">
        <f>AVERAGE(I9:I12)</f>
        <v>2.0175</v>
      </c>
      <c r="K12" s="18"/>
      <c r="L12" s="18">
        <f>-H12+L11</f>
        <v>360</v>
      </c>
      <c r="M12" s="18"/>
      <c r="N12" s="18">
        <f>1+N11</f>
        <v>9</v>
      </c>
    </row>
    <row r="13" ht="20.05" customHeight="1">
      <c r="B13" s="29"/>
      <c r="C13" s="17">
        <f>475.611-C12</f>
        <v>246.009</v>
      </c>
      <c r="D13" s="18">
        <f>55.176-D12</f>
        <v>26.186</v>
      </c>
      <c r="E13" s="18">
        <f>-32.925-E12</f>
        <v>-21.546</v>
      </c>
      <c r="F13" s="18"/>
      <c r="G13" s="18"/>
      <c r="H13" s="18">
        <f>0-H12</f>
        <v>0</v>
      </c>
      <c r="I13" s="18">
        <f>D13+E13</f>
        <v>4.64</v>
      </c>
      <c r="J13" s="18">
        <f>AVERAGE(I10:I13)</f>
        <v>6.81</v>
      </c>
      <c r="K13" s="18"/>
      <c r="L13" s="18">
        <f>-H13+L12</f>
        <v>360</v>
      </c>
      <c r="M13" s="18"/>
      <c r="N13" s="18">
        <f>1+N12</f>
        <v>10</v>
      </c>
    </row>
    <row r="14" ht="20.05" customHeight="1">
      <c r="B14" s="29"/>
      <c r="C14" s="17">
        <f>787.562-SUM(C12:C13)</f>
        <v>311.951</v>
      </c>
      <c r="D14" s="18">
        <f>123.758-SUM(D12:D13)</f>
        <v>68.58199999999999</v>
      </c>
      <c r="E14" s="18">
        <f>-54.074-SUM(E12:E13)</f>
        <v>-21.149</v>
      </c>
      <c r="F14" s="18"/>
      <c r="G14" s="18"/>
      <c r="H14" s="18">
        <f>-22.505-SUM(H12:H13)</f>
        <v>-22.505</v>
      </c>
      <c r="I14" s="18">
        <f>D14+E14</f>
        <v>47.433</v>
      </c>
      <c r="J14" s="18">
        <f>AVERAGE(I11:I14)</f>
        <v>12.5075</v>
      </c>
      <c r="K14" s="18"/>
      <c r="L14" s="18">
        <f>-H14+L13</f>
        <v>382.505</v>
      </c>
      <c r="M14" s="18"/>
      <c r="N14" s="18">
        <f>1+N13</f>
        <v>11</v>
      </c>
    </row>
    <row r="15" ht="20.05" customHeight="1">
      <c r="B15" s="29"/>
      <c r="C15" s="17">
        <f>1039.84-SUM(C12:C14)</f>
        <v>252.278</v>
      </c>
      <c r="D15" s="18">
        <f>158.44-SUM(D12:D14)</f>
        <v>34.682</v>
      </c>
      <c r="E15" s="18">
        <f>-91.511-SUM(E12:E14)</f>
        <v>-37.437</v>
      </c>
      <c r="F15" s="18"/>
      <c r="G15" s="18"/>
      <c r="H15" s="18">
        <f>0-SUM(H12:H14)</f>
        <v>22.505</v>
      </c>
      <c r="I15" s="18">
        <f>D15+E15</f>
        <v>-2.755</v>
      </c>
      <c r="J15" s="18">
        <f>AVERAGE(I12:I15)</f>
        <v>16.73225</v>
      </c>
      <c r="K15" s="18"/>
      <c r="L15" s="18">
        <f>-H15+L14</f>
        <v>360</v>
      </c>
      <c r="M15" s="18"/>
      <c r="N15" s="18">
        <f>1+N14</f>
        <v>12</v>
      </c>
    </row>
    <row r="16" ht="20.05" customHeight="1">
      <c r="B16" s="30">
        <v>2020</v>
      </c>
      <c r="C16" s="17">
        <v>236.383</v>
      </c>
      <c r="D16" s="18">
        <v>42.615</v>
      </c>
      <c r="E16" s="18">
        <v>-23.317</v>
      </c>
      <c r="F16" s="18"/>
      <c r="G16" s="18"/>
      <c r="H16" s="18">
        <v>0</v>
      </c>
      <c r="I16" s="18">
        <f>D16+E16</f>
        <v>19.298</v>
      </c>
      <c r="J16" s="18">
        <f>AVERAGE(I13:I16)</f>
        <v>17.154</v>
      </c>
      <c r="K16" s="18"/>
      <c r="L16" s="18">
        <f>-H16+L15</f>
        <v>360</v>
      </c>
      <c r="M16" s="18"/>
      <c r="N16" s="18">
        <f>1+N15</f>
        <v>13</v>
      </c>
    </row>
    <row r="17" ht="20.05" customHeight="1">
      <c r="B17" s="29"/>
      <c r="C17" s="17">
        <f>466.656-C16</f>
        <v>230.273</v>
      </c>
      <c r="D17" s="18">
        <f>46.672-D16</f>
        <v>4.057</v>
      </c>
      <c r="E17" s="18">
        <f>-36.706-E16</f>
        <v>-13.389</v>
      </c>
      <c r="F17" s="18"/>
      <c r="G17" s="18"/>
      <c r="H17" s="18">
        <f>0-H16</f>
        <v>0</v>
      </c>
      <c r="I17" s="18">
        <f>D17+E17</f>
        <v>-9.332000000000001</v>
      </c>
      <c r="J17" s="18">
        <f>AVERAGE(I14:I17)</f>
        <v>13.661</v>
      </c>
      <c r="K17" s="18"/>
      <c r="L17" s="18">
        <f>-H17+L16</f>
        <v>360</v>
      </c>
      <c r="M17" s="18"/>
      <c r="N17" s="18">
        <f>1+N16</f>
        <v>14</v>
      </c>
    </row>
    <row r="18" ht="20.05" customHeight="1">
      <c r="B18" s="29"/>
      <c r="C18" s="17">
        <f>736.661-SUM(C16:C17)</f>
        <v>270.005</v>
      </c>
      <c r="D18" s="18">
        <f>131.373-SUM(D16:D17)</f>
        <v>84.70099999999999</v>
      </c>
      <c r="E18" s="18">
        <f>-63.169-SUM(E16:E17)</f>
        <v>-26.463</v>
      </c>
      <c r="F18" s="18"/>
      <c r="G18" s="18"/>
      <c r="H18" s="18">
        <v>0</v>
      </c>
      <c r="I18" s="18">
        <f>D18+E18</f>
        <v>58.238</v>
      </c>
      <c r="J18" s="18">
        <f>AVERAGE(I15:I18)</f>
        <v>16.36225</v>
      </c>
      <c r="K18" s="18"/>
      <c r="L18" s="18">
        <f>-H18+L17</f>
        <v>360</v>
      </c>
      <c r="M18" s="18"/>
      <c r="N18" s="18">
        <f>1+N17</f>
        <v>15</v>
      </c>
    </row>
    <row r="19" ht="20.05" customHeight="1">
      <c r="B19" s="29"/>
      <c r="C19" s="17">
        <f>996.4-SUM(C16:C18)</f>
        <v>259.739</v>
      </c>
      <c r="D19" s="18">
        <f>202.6-SUM(D16:D18)</f>
        <v>71.227</v>
      </c>
      <c r="E19" s="18">
        <f>-72-SUM(E16:E18)</f>
        <v>-8.831</v>
      </c>
      <c r="F19" s="18"/>
      <c r="G19" s="18"/>
      <c r="H19" s="18">
        <f t="shared" si="100" ref="H19:H21">0</f>
        <v>0</v>
      </c>
      <c r="I19" s="18">
        <f>D19+E19</f>
        <v>62.396</v>
      </c>
      <c r="J19" s="18">
        <f>AVERAGE(I16:I19)</f>
        <v>32.65</v>
      </c>
      <c r="K19" s="18"/>
      <c r="L19" s="18">
        <f>-H19+L18</f>
        <v>360</v>
      </c>
      <c r="M19" s="18"/>
      <c r="N19" s="18">
        <f>1+N18</f>
        <v>16</v>
      </c>
    </row>
    <row r="20" ht="20.05" customHeight="1">
      <c r="B20" s="30">
        <v>2021</v>
      </c>
      <c r="C20" s="17">
        <v>251</v>
      </c>
      <c r="D20" s="18">
        <v>66</v>
      </c>
      <c r="E20" s="18">
        <v>-11</v>
      </c>
      <c r="F20" s="18">
        <v>0</v>
      </c>
      <c r="G20" s="18">
        <v>0</v>
      </c>
      <c r="H20" s="18">
        <v>0</v>
      </c>
      <c r="I20" s="18">
        <f>D20+E20</f>
        <v>55</v>
      </c>
      <c r="J20" s="18">
        <f>AVERAGE(I17:I20)</f>
        <v>41.5755</v>
      </c>
      <c r="K20" s="18"/>
      <c r="L20" s="18">
        <f>-H20+L19</f>
        <v>360</v>
      </c>
      <c r="M20" s="18"/>
      <c r="N20" s="18">
        <f>1+N19</f>
        <v>17</v>
      </c>
    </row>
    <row r="21" ht="20.05" customHeight="1">
      <c r="B21" s="29"/>
      <c r="C21" s="17">
        <f>523.6-C20</f>
        <v>272.6</v>
      </c>
      <c r="D21" s="18">
        <f>109.2-D20</f>
        <v>43.2</v>
      </c>
      <c r="E21" s="18">
        <f>-19.8-E20</f>
        <v>-8.800000000000001</v>
      </c>
      <c r="F21" s="18">
        <v>0</v>
      </c>
      <c r="G21" s="18">
        <v>0</v>
      </c>
      <c r="H21" s="18">
        <f t="shared" si="100"/>
        <v>0</v>
      </c>
      <c r="I21" s="18">
        <f>D21+E21</f>
        <v>34.4</v>
      </c>
      <c r="J21" s="18">
        <f>AVERAGE(I18:I21)</f>
        <v>52.5085</v>
      </c>
      <c r="K21" s="18"/>
      <c r="L21" s="18">
        <f>-H21+L20</f>
        <v>360</v>
      </c>
      <c r="M21" s="18"/>
      <c r="N21" s="18">
        <f>1+N20</f>
        <v>18</v>
      </c>
    </row>
    <row r="22" ht="20.05" customHeight="1">
      <c r="B22" s="29"/>
      <c r="C22" s="17">
        <f>808.3-SUM(C20:C21)</f>
        <v>284.7</v>
      </c>
      <c r="D22" s="18">
        <f>129.3-SUM(D20:D21)</f>
        <v>20.1</v>
      </c>
      <c r="E22" s="18">
        <f>-24.7-SUM(E20:E21)</f>
        <v>-4.9</v>
      </c>
      <c r="F22" s="18">
        <v>0</v>
      </c>
      <c r="G22" s="18">
        <v>0</v>
      </c>
      <c r="H22" s="18">
        <v>0</v>
      </c>
      <c r="I22" s="18">
        <f>D22+E22</f>
        <v>15.2</v>
      </c>
      <c r="J22" s="18">
        <f>AVERAGE(I19:I22)</f>
        <v>41.749</v>
      </c>
      <c r="K22" s="18"/>
      <c r="L22" s="18">
        <f>-H22+L21</f>
        <v>360</v>
      </c>
      <c r="M22" s="18"/>
      <c r="N22" s="18">
        <f>1+N21</f>
        <v>19</v>
      </c>
    </row>
    <row r="23" ht="20.05" customHeight="1">
      <c r="B23" s="29"/>
      <c r="C23" s="17">
        <f>1033-SUM(C20:C22)</f>
        <v>224.7</v>
      </c>
      <c r="D23" s="18">
        <f>213.5-SUM(D20:D22)</f>
        <v>84.2</v>
      </c>
      <c r="E23" s="18">
        <f>-81.7-G23-SUM(E20:E22)</f>
        <v>-15.8</v>
      </c>
      <c r="F23" s="18">
        <f>H23-G23</f>
        <v>0</v>
      </c>
      <c r="G23" s="18">
        <f>-41.2-SUM(G20:G22)</f>
        <v>-41.2</v>
      </c>
      <c r="H23" s="18">
        <f>-41.2-SUM(H20:H22)</f>
        <v>-41.2</v>
      </c>
      <c r="I23" s="18">
        <f>D23+E23</f>
        <v>68.40000000000001</v>
      </c>
      <c r="J23" s="18">
        <f>AVERAGE(I20:I23)</f>
        <v>43.25</v>
      </c>
      <c r="K23" s="18"/>
      <c r="L23" s="18">
        <f>-H23+L22</f>
        <v>401.2</v>
      </c>
      <c r="M23" s="18"/>
      <c r="N23" s="18">
        <f>1+N22</f>
        <v>20</v>
      </c>
    </row>
    <row r="24" ht="20.05" customHeight="1">
      <c r="B24" s="30">
        <v>2022</v>
      </c>
      <c r="C24" s="17">
        <v>284</v>
      </c>
      <c r="D24" s="18">
        <v>33.1</v>
      </c>
      <c r="E24" s="18">
        <v>-10.4</v>
      </c>
      <c r="F24" s="18">
        <v>0</v>
      </c>
      <c r="G24" s="18">
        <v>0</v>
      </c>
      <c r="H24" s="18">
        <v>0</v>
      </c>
      <c r="I24" s="18">
        <f>D24+E24</f>
        <v>22.7</v>
      </c>
      <c r="J24" s="18">
        <f>AVERAGE(I21:I24)</f>
        <v>35.175</v>
      </c>
      <c r="K24" s="18">
        <v>39.386290488314</v>
      </c>
      <c r="L24" s="18">
        <f>-H24+L23</f>
        <v>401.2</v>
      </c>
      <c r="M24" s="18">
        <v>548.565662995153</v>
      </c>
      <c r="N24" s="18">
        <f>1+N23</f>
        <v>21</v>
      </c>
    </row>
    <row r="25" ht="20.05" customHeight="1">
      <c r="B25" s="29"/>
      <c r="C25" s="17"/>
      <c r="D25" s="18"/>
      <c r="E25" s="18"/>
      <c r="F25" s="18"/>
      <c r="G25" s="18"/>
      <c r="H25" s="18"/>
      <c r="I25" s="18"/>
      <c r="J25" s="23"/>
      <c r="K25" s="18">
        <f>SUM('Model'!F9:F10)</f>
        <v>41.053999005606</v>
      </c>
      <c r="L25" s="23"/>
      <c r="M25" s="18">
        <f>'Model'!F33</f>
        <v>562.477904881622</v>
      </c>
      <c r="N25" s="18"/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9.6328" style="38" customWidth="1"/>
    <col min="2" max="2" width="8.58594" style="38" customWidth="1"/>
    <col min="3" max="11" width="9.39062" style="38" customWidth="1"/>
    <col min="12" max="16384" width="16.3516" style="38" customWidth="1"/>
  </cols>
  <sheetData>
    <row r="1" ht="33.1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50</v>
      </c>
      <c r="C3" t="s" s="5">
        <v>51</v>
      </c>
      <c r="D3" t="s" s="5">
        <v>52</v>
      </c>
      <c r="E3" t="s" s="5">
        <v>23</v>
      </c>
      <c r="F3" t="s" s="5">
        <v>24</v>
      </c>
      <c r="G3" t="s" s="5">
        <v>11</v>
      </c>
      <c r="H3" t="s" s="5">
        <v>27</v>
      </c>
      <c r="I3" t="s" s="5">
        <v>28</v>
      </c>
      <c r="J3" t="s" s="5">
        <v>53</v>
      </c>
      <c r="K3" t="s" s="5">
        <v>36</v>
      </c>
    </row>
    <row r="4" ht="20.25" customHeight="1">
      <c r="B4" s="26">
        <v>2018</v>
      </c>
      <c r="C4" s="27">
        <v>291</v>
      </c>
      <c r="D4" s="28">
        <v>974</v>
      </c>
      <c r="E4" s="28">
        <f>D4-C4</f>
        <v>683</v>
      </c>
      <c r="F4" s="8"/>
      <c r="G4" s="28">
        <v>118</v>
      </c>
      <c r="H4" s="28">
        <v>856</v>
      </c>
      <c r="I4" s="28">
        <f>G4+H4-C4-E4</f>
        <v>0</v>
      </c>
      <c r="J4" s="28">
        <f>C4-G4</f>
        <v>173</v>
      </c>
      <c r="K4" s="28"/>
    </row>
    <row r="5" ht="20.05" customHeight="1">
      <c r="B5" s="29"/>
      <c r="C5" s="13">
        <v>276</v>
      </c>
      <c r="D5" s="14">
        <v>1013</v>
      </c>
      <c r="E5" s="14">
        <f>D5-C5</f>
        <v>737</v>
      </c>
      <c r="F5" s="23"/>
      <c r="G5" s="14">
        <v>144</v>
      </c>
      <c r="H5" s="14">
        <v>869</v>
      </c>
      <c r="I5" s="14">
        <f>G5+H5-C5-E5</f>
        <v>0</v>
      </c>
      <c r="J5" s="14">
        <f>C5-G5</f>
        <v>132</v>
      </c>
      <c r="K5" s="14"/>
    </row>
    <row r="6" ht="20.05" customHeight="1">
      <c r="B6" s="29"/>
      <c r="C6" s="13">
        <v>283</v>
      </c>
      <c r="D6" s="14">
        <v>980</v>
      </c>
      <c r="E6" s="14">
        <f>D6-C6</f>
        <v>697</v>
      </c>
      <c r="F6" s="23"/>
      <c r="G6" s="14">
        <v>119</v>
      </c>
      <c r="H6" s="14">
        <v>861</v>
      </c>
      <c r="I6" s="14">
        <f>G6+H6-C6-E6</f>
        <v>0</v>
      </c>
      <c r="J6" s="14">
        <f>C6-G6</f>
        <v>164</v>
      </c>
      <c r="K6" s="14"/>
    </row>
    <row r="7" ht="20.05" customHeight="1">
      <c r="B7" s="29"/>
      <c r="C7" s="13">
        <v>281</v>
      </c>
      <c r="D7" s="14">
        <v>1004</v>
      </c>
      <c r="E7" s="14">
        <f>D7-C7</f>
        <v>723</v>
      </c>
      <c r="F7" s="23"/>
      <c r="G7" s="14">
        <v>119</v>
      </c>
      <c r="H7" s="14">
        <v>885</v>
      </c>
      <c r="I7" s="14">
        <f>G7+H7-C7-E7</f>
        <v>0</v>
      </c>
      <c r="J7" s="14">
        <f>C7-G7</f>
        <v>162</v>
      </c>
      <c r="K7" s="14"/>
    </row>
    <row r="8" ht="20.05" customHeight="1">
      <c r="B8" s="30">
        <v>2019</v>
      </c>
      <c r="C8" s="13">
        <v>299</v>
      </c>
      <c r="D8" s="14">
        <v>1016</v>
      </c>
      <c r="E8" s="14">
        <f>D8-C8</f>
        <v>717</v>
      </c>
      <c r="F8" s="23"/>
      <c r="G8" s="14">
        <v>113</v>
      </c>
      <c r="H8" s="14">
        <v>903</v>
      </c>
      <c r="I8" s="14">
        <f>G8+H8-C8-E8</f>
        <v>0</v>
      </c>
      <c r="J8" s="14">
        <f>C8-G8</f>
        <v>186</v>
      </c>
      <c r="K8" s="14"/>
    </row>
    <row r="9" ht="20.05" customHeight="1">
      <c r="B9" s="29"/>
      <c r="C9" s="13">
        <v>303</v>
      </c>
      <c r="D9" s="14">
        <v>1054</v>
      </c>
      <c r="E9" s="14">
        <f>D9-C9</f>
        <v>751</v>
      </c>
      <c r="F9" s="23"/>
      <c r="G9" s="14">
        <v>162</v>
      </c>
      <c r="H9" s="14">
        <v>892</v>
      </c>
      <c r="I9" s="14">
        <f>G9+H9-C9-E9</f>
        <v>0</v>
      </c>
      <c r="J9" s="14">
        <f>C9-G9</f>
        <v>141</v>
      </c>
      <c r="K9" s="14"/>
    </row>
    <row r="10" ht="20.05" customHeight="1">
      <c r="B10" s="29"/>
      <c r="C10" s="13">
        <v>328</v>
      </c>
      <c r="D10" s="14">
        <v>1045</v>
      </c>
      <c r="E10" s="14">
        <f>D10-C10</f>
        <v>717</v>
      </c>
      <c r="F10" s="23"/>
      <c r="G10" s="14">
        <v>133</v>
      </c>
      <c r="H10" s="14">
        <v>912</v>
      </c>
      <c r="I10" s="14">
        <f>G10+H10-C10-E10</f>
        <v>0</v>
      </c>
      <c r="J10" s="14">
        <f>C10-G10</f>
        <v>195</v>
      </c>
      <c r="K10" s="23"/>
    </row>
    <row r="11" ht="20.05" customHeight="1">
      <c r="B11" s="29"/>
      <c r="C11" s="13">
        <v>348</v>
      </c>
      <c r="D11" s="14">
        <v>1057</v>
      </c>
      <c r="E11" s="14">
        <f>D11-C11</f>
        <v>709</v>
      </c>
      <c r="F11" s="23"/>
      <c r="G11" s="14">
        <v>122</v>
      </c>
      <c r="H11" s="14">
        <v>935</v>
      </c>
      <c r="I11" s="14">
        <f>G11+H11-C11-E11</f>
        <v>0</v>
      </c>
      <c r="J11" s="14">
        <f>C11-G11</f>
        <v>226</v>
      </c>
      <c r="K11" s="23"/>
    </row>
    <row r="12" ht="20.05" customHeight="1">
      <c r="B12" s="30">
        <v>2020</v>
      </c>
      <c r="C12" s="13">
        <v>367</v>
      </c>
      <c r="D12" s="14">
        <v>1077</v>
      </c>
      <c r="E12" s="14">
        <f>D12-C12</f>
        <v>710</v>
      </c>
      <c r="F12" s="23"/>
      <c r="G12" s="14">
        <v>130</v>
      </c>
      <c r="H12" s="14">
        <v>947</v>
      </c>
      <c r="I12" s="14">
        <f>G12+H12-C12-E12</f>
        <v>0</v>
      </c>
      <c r="J12" s="14">
        <f>C12-G12</f>
        <v>237</v>
      </c>
      <c r="K12" s="23"/>
    </row>
    <row r="13" ht="20.05" customHeight="1">
      <c r="B13" s="29"/>
      <c r="C13" s="13">
        <v>358</v>
      </c>
      <c r="D13" s="14">
        <v>1071</v>
      </c>
      <c r="E13" s="14">
        <f>D13-C13</f>
        <v>713</v>
      </c>
      <c r="F13" s="23"/>
      <c r="G13" s="14">
        <v>122</v>
      </c>
      <c r="H13" s="14">
        <v>949</v>
      </c>
      <c r="I13" s="14">
        <f>G13+H13-C13-E13</f>
        <v>0</v>
      </c>
      <c r="J13" s="14">
        <f>C13-G13</f>
        <v>236</v>
      </c>
      <c r="K13" s="23"/>
    </row>
    <row r="14" ht="20.05" customHeight="1">
      <c r="B14" s="29"/>
      <c r="C14" s="13">
        <v>416</v>
      </c>
      <c r="D14" s="14">
        <v>1089</v>
      </c>
      <c r="E14" s="14">
        <f>D14-C14</f>
        <v>673</v>
      </c>
      <c r="F14" s="23"/>
      <c r="G14" s="14">
        <v>132</v>
      </c>
      <c r="H14" s="14">
        <v>957</v>
      </c>
      <c r="I14" s="14">
        <f>G14+H14-C14-E14</f>
        <v>0</v>
      </c>
      <c r="J14" s="14">
        <f>C14-G14</f>
        <v>284</v>
      </c>
      <c r="K14" s="23"/>
    </row>
    <row r="15" ht="20.05" customHeight="1">
      <c r="B15" s="29"/>
      <c r="C15" s="31">
        <v>479</v>
      </c>
      <c r="D15" s="18">
        <v>1087</v>
      </c>
      <c r="E15" s="14">
        <f>D15-C15</f>
        <v>608</v>
      </c>
      <c r="F15" s="32">
        <f>8+2+603</f>
        <v>613</v>
      </c>
      <c r="G15" s="14">
        <v>125</v>
      </c>
      <c r="H15" s="14">
        <v>962</v>
      </c>
      <c r="I15" s="14">
        <f>G15+H15-C15-E15</f>
        <v>0</v>
      </c>
      <c r="J15" s="14">
        <f>C15-G15</f>
        <v>354</v>
      </c>
      <c r="K15" s="23"/>
    </row>
    <row r="16" ht="20.05" customHeight="1">
      <c r="B16" s="30">
        <v>2021</v>
      </c>
      <c r="C16" s="31">
        <v>534</v>
      </c>
      <c r="D16" s="18">
        <v>1125</v>
      </c>
      <c r="E16" s="14">
        <f>D16-C16</f>
        <v>591</v>
      </c>
      <c r="F16" s="32">
        <v>620</v>
      </c>
      <c r="G16" s="14">
        <f>78+69</f>
        <v>147</v>
      </c>
      <c r="H16" s="14">
        <v>979</v>
      </c>
      <c r="I16" s="14">
        <f>G16+H16-C16-E16</f>
        <v>1</v>
      </c>
      <c r="J16" s="14">
        <f>C16-G16</f>
        <v>387</v>
      </c>
      <c r="K16" s="23"/>
    </row>
    <row r="17" ht="20.05" customHeight="1">
      <c r="B17" s="29"/>
      <c r="C17" s="31">
        <v>568</v>
      </c>
      <c r="D17" s="18">
        <v>1168</v>
      </c>
      <c r="E17" s="14">
        <f>D17-C17</f>
        <v>600</v>
      </c>
      <c r="F17" s="32">
        <f>637+4+9</f>
        <v>650</v>
      </c>
      <c r="G17" s="14">
        <f>88+69</f>
        <v>157</v>
      </c>
      <c r="H17" s="14">
        <v>1011</v>
      </c>
      <c r="I17" s="14">
        <f>G17+H17-C17-E17</f>
        <v>0</v>
      </c>
      <c r="J17" s="14">
        <f>C17-G17</f>
        <v>411</v>
      </c>
      <c r="K17" s="23"/>
    </row>
    <row r="18" ht="20.05" customHeight="1">
      <c r="B18" s="29"/>
      <c r="C18" s="31">
        <v>583</v>
      </c>
      <c r="D18" s="18">
        <v>1147</v>
      </c>
      <c r="E18" s="14">
        <f>D18-C18</f>
        <v>564</v>
      </c>
      <c r="F18" s="32">
        <f>653+5+9</f>
        <v>667</v>
      </c>
      <c r="G18" s="14">
        <f>78+67</f>
        <v>145</v>
      </c>
      <c r="H18" s="14">
        <v>1002</v>
      </c>
      <c r="I18" s="14">
        <f>G18+H18-C18-E18</f>
        <v>0</v>
      </c>
      <c r="J18" s="14">
        <f>C18-G18</f>
        <v>438</v>
      </c>
      <c r="K18" s="23"/>
    </row>
    <row r="19" ht="20.05" customHeight="1">
      <c r="B19" s="29"/>
      <c r="C19" s="31">
        <v>610</v>
      </c>
      <c r="D19" s="18">
        <v>1147</v>
      </c>
      <c r="E19" s="14">
        <f>D19-C19</f>
        <v>537</v>
      </c>
      <c r="F19" s="32">
        <f>670+6+10</f>
        <v>686</v>
      </c>
      <c r="G19" s="14">
        <f>64+60</f>
        <v>124</v>
      </c>
      <c r="H19" s="14">
        <v>1023</v>
      </c>
      <c r="I19" s="14">
        <f>G19+H19-C19-E19</f>
        <v>0</v>
      </c>
      <c r="J19" s="14">
        <f>C19-G19</f>
        <v>486</v>
      </c>
      <c r="K19" s="23"/>
    </row>
    <row r="20" ht="20.05" customHeight="1">
      <c r="B20" s="30">
        <v>2022</v>
      </c>
      <c r="C20" s="31">
        <f>C19+'Cashflow'!D24+'Cashflow'!E24+'Cashflow'!H24</f>
        <v>632.7</v>
      </c>
      <c r="D20" s="18">
        <v>1220</v>
      </c>
      <c r="E20" s="14">
        <f>D20-C20</f>
        <v>587.3</v>
      </c>
      <c r="F20" s="14">
        <f>F19+'Sales'!E28</f>
        <v>703</v>
      </c>
      <c r="G20" s="14">
        <f>D20-H20</f>
        <v>169</v>
      </c>
      <c r="H20" s="14">
        <v>1051</v>
      </c>
      <c r="I20" s="14">
        <f>G20+H20-C20-E20</f>
        <v>0</v>
      </c>
      <c r="J20" s="14">
        <f>C20-G20</f>
        <v>463.7</v>
      </c>
      <c r="K20" s="32">
        <v>484.820301101454</v>
      </c>
    </row>
    <row r="21" ht="20.05" customHeight="1">
      <c r="B21" s="29"/>
      <c r="C21" s="33"/>
      <c r="D21" s="18"/>
      <c r="E21" s="14">
        <f>D21-C21</f>
        <v>0</v>
      </c>
      <c r="F21" s="23"/>
      <c r="G21" s="14"/>
      <c r="H21" s="14"/>
      <c r="I21" s="14"/>
      <c r="J21" s="14"/>
      <c r="K21" s="32">
        <f>'Model'!F31</f>
        <v>449.636628535513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3984" style="39" customWidth="1"/>
    <col min="2" max="2" width="12.9922" style="39" customWidth="1"/>
    <col min="3" max="5" width="10.7188" style="39" customWidth="1"/>
    <col min="6" max="16384" width="16.3516" style="39" customWidth="1"/>
  </cols>
  <sheetData>
    <row r="1" ht="11.5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5">
        <v>55</v>
      </c>
      <c r="D3" t="s" s="40">
        <v>56</v>
      </c>
      <c r="E3" t="s" s="40">
        <v>57</v>
      </c>
    </row>
    <row r="4" ht="20.25" customHeight="1">
      <c r="B4" s="26">
        <v>2018</v>
      </c>
      <c r="C4" s="41">
        <v>448</v>
      </c>
      <c r="D4" s="42"/>
      <c r="E4" s="42"/>
    </row>
    <row r="5" ht="20.05" customHeight="1">
      <c r="B5" s="29"/>
      <c r="C5" s="43">
        <v>314</v>
      </c>
      <c r="D5" s="22"/>
      <c r="E5" s="22"/>
    </row>
    <row r="6" ht="20.05" customHeight="1">
      <c r="B6" s="29"/>
      <c r="C6" s="43">
        <v>370</v>
      </c>
      <c r="D6" s="22"/>
      <c r="E6" s="22"/>
    </row>
    <row r="7" ht="20.05" customHeight="1">
      <c r="B7" s="29"/>
      <c r="C7" s="43">
        <v>346</v>
      </c>
      <c r="D7" s="22"/>
      <c r="E7" s="22"/>
    </row>
    <row r="8" ht="20.05" customHeight="1">
      <c r="B8" s="30">
        <v>2019</v>
      </c>
      <c r="C8" s="43">
        <v>635</v>
      </c>
      <c r="D8" s="22"/>
      <c r="E8" s="22"/>
    </row>
    <row r="9" ht="20.05" customHeight="1">
      <c r="B9" s="29"/>
      <c r="C9" s="43">
        <v>550</v>
      </c>
      <c r="D9" s="22"/>
      <c r="E9" s="22"/>
    </row>
    <row r="10" ht="20.05" customHeight="1">
      <c r="B10" s="29"/>
      <c r="C10" s="43">
        <v>462</v>
      </c>
      <c r="D10" s="22"/>
      <c r="E10" s="22"/>
    </row>
    <row r="11" ht="20.05" customHeight="1">
      <c r="B11" s="29"/>
      <c r="C11" s="43">
        <v>374</v>
      </c>
      <c r="D11" s="22"/>
      <c r="E11" s="22"/>
    </row>
    <row r="12" ht="20.05" customHeight="1">
      <c r="B12" s="30">
        <v>2020</v>
      </c>
      <c r="C12" s="43">
        <v>157</v>
      </c>
      <c r="D12" s="22"/>
      <c r="E12" s="22"/>
    </row>
    <row r="13" ht="20.05" customHeight="1">
      <c r="B13" s="29"/>
      <c r="C13" s="43">
        <v>206</v>
      </c>
      <c r="D13" s="22"/>
      <c r="E13" s="22"/>
    </row>
    <row r="14" ht="20.05" customHeight="1">
      <c r="B14" s="29"/>
      <c r="C14" s="43">
        <v>270</v>
      </c>
      <c r="D14" s="22"/>
      <c r="E14" s="22"/>
    </row>
    <row r="15" ht="20.05" customHeight="1">
      <c r="B15" s="29"/>
      <c r="C15" s="21">
        <v>302</v>
      </c>
      <c r="D15" s="22"/>
      <c r="E15" s="22"/>
    </row>
    <row r="16" ht="20.05" customHeight="1">
      <c r="B16" s="30">
        <v>2021</v>
      </c>
      <c r="C16" s="21">
        <v>234</v>
      </c>
      <c r="D16" s="18">
        <v>501.283056152969</v>
      </c>
      <c r="E16" s="23"/>
    </row>
    <row r="17" ht="20.05" customHeight="1">
      <c r="B17" s="29"/>
      <c r="C17" s="21">
        <v>256</v>
      </c>
      <c r="D17" s="18">
        <v>789.425091133005</v>
      </c>
      <c r="E17" s="23"/>
    </row>
    <row r="18" ht="20.05" customHeight="1">
      <c r="B18" s="29"/>
      <c r="C18" s="21">
        <v>292</v>
      </c>
      <c r="D18" s="18">
        <v>608.765196148633</v>
      </c>
      <c r="E18" s="23"/>
    </row>
    <row r="19" ht="20.05" customHeight="1">
      <c r="B19" s="29"/>
      <c r="C19" s="21">
        <v>290</v>
      </c>
      <c r="D19" s="18">
        <v>608.765196148633</v>
      </c>
      <c r="E19" s="23"/>
    </row>
    <row r="20" ht="20.05" customHeight="1">
      <c r="B20" s="30">
        <v>2022</v>
      </c>
      <c r="C20" s="21">
        <v>264</v>
      </c>
      <c r="D20" s="18">
        <v>608.765196148633</v>
      </c>
      <c r="E20" s="23"/>
    </row>
    <row r="21" ht="20.05" customHeight="1">
      <c r="B21" s="29"/>
      <c r="C21" s="21">
        <v>274</v>
      </c>
      <c r="D21" s="22">
        <v>500.817861208318</v>
      </c>
      <c r="E21" s="22"/>
    </row>
    <row r="22" ht="20.05" customHeight="1">
      <c r="B22" s="29"/>
      <c r="C22" s="21"/>
      <c r="D22" s="18">
        <f>'Model'!F44</f>
        <v>520.693294857620</v>
      </c>
      <c r="E22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