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Data" sheetId="6" r:id="rId9"/>
    <sheet name="Capital " sheetId="7" r:id="rId10"/>
  </sheets>
</workbook>
</file>

<file path=xl/sharedStrings.xml><?xml version="1.0" encoding="utf-8"?>
<sst xmlns="http://schemas.openxmlformats.org/spreadsheetml/2006/main" uniqueCount="95">
  <si>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</si>
  <si>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</si>
  <si>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</si>
  <si>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</si>
  <si>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</si>
  <si>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</si>
  <si>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</si>
  <si>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</si>
  <si>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</si>
  <si>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 xml:space="preserve">Investment </t>
  </si>
  <si>
    <t xml:space="preserve">Leases 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</si>
  <si>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</si>
  <si>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</si>
  <si>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</si>
  <si>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</si>
  <si>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</si>
  <si>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</si>
  <si>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</si>
  <si>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</si>
  <si>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</si>
  <si>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</si>
  <si>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</si>
  <si>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Profit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</si>
  <si>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</si>
  <si>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</si>
  <si>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</si>
  <si>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</si>
  <si>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</si>
  <si>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</si>
  <si>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</si>
  <si>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</si>
  <si>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</si>
  <si>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</si>
  <si>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</si>
  <si>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</si>
  <si>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</si>
  <si>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</si>
  <si>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</si>
  <si>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</si>
  <si>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</si>
  <si>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</si>
  <si>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</si>
  <si>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</si>
  <si>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Rpbn </t>
  </si>
  <si>
    <t>Non cash costs</t>
  </si>
  <si>
    <t>Cashflow</t>
  </si>
  <si>
    <t xml:space="preserve">Receipts </t>
  </si>
  <si>
    <t>Investing</t>
  </si>
  <si>
    <t>Interest</t>
  </si>
  <si>
    <t>Leases</t>
  </si>
  <si>
    <t xml:space="preserve">Finance </t>
  </si>
  <si>
    <t xml:space="preserve">Free cashflow </t>
  </si>
  <si>
    <t>Balance sheet</t>
  </si>
  <si>
    <t>Cash</t>
  </si>
  <si>
    <t>Assets</t>
  </si>
  <si>
    <t>Share price</t>
  </si>
  <si>
    <t>BSDE</t>
  </si>
  <si>
    <t xml:space="preserve">Previous </t>
  </si>
  <si>
    <t>Data</t>
  </si>
  <si>
    <t xml:space="preserve">Non cash cost </t>
  </si>
  <si>
    <t>Capital</t>
  </si>
  <si>
    <t xml:space="preserve">Interest </t>
  </si>
  <si>
    <t>Capital-1</t>
  </si>
  <si>
    <t xml:space="preserve">Total </t>
  </si>
  <si>
    <t>Table 1-1</t>
  </si>
  <si>
    <t>Market value</t>
  </si>
  <si>
    <t xml:space="preserve">capital history </t>
  </si>
  <si>
    <t>of market value</t>
  </si>
  <si>
    <t>paid in 2021</t>
  </si>
  <si>
    <t xml:space="preserve">Start date </t>
  </si>
  <si>
    <t xml:space="preserve">Number of quarters </t>
  </si>
  <si>
    <t>Market value Rpbn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</si>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</sst>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0.0%"/>
    <numFmt numFmtId="61" formatCode="#,##0.0"/>
    <numFmt numFmtId="62" formatCode="[$IDR]0"/>
    <numFmt numFmtId="63" formatCode="mmm d, 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3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efffe"/>
      <rgbColor rgb="fff8ba00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717"/>
          <c:y val="0.0446026"/>
          <c:w val="0.813078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'!$K$22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'!$G$23:$G$39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 '!$K$23:$K$39</c:f>
              <c:numCache>
                <c:ptCount val="17"/>
                <c:pt idx="0">
                  <c:v>0.000000</c:v>
                </c:pt>
                <c:pt idx="1">
                  <c:v>0.000000</c:v>
                </c:pt>
                <c:pt idx="2">
                  <c:v>250.000000</c:v>
                </c:pt>
                <c:pt idx="3">
                  <c:v>0.000000</c:v>
                </c:pt>
                <c:pt idx="4">
                  <c:v>-230.000000</c:v>
                </c:pt>
                <c:pt idx="5">
                  <c:v>-464.000000</c:v>
                </c:pt>
                <c:pt idx="6">
                  <c:v>-1111.000000</c:v>
                </c:pt>
                <c:pt idx="7">
                  <c:v>-640.000000</c:v>
                </c:pt>
                <c:pt idx="8">
                  <c:v>2338.000000</c:v>
                </c:pt>
                <c:pt idx="9">
                  <c:v>2498.000000</c:v>
                </c:pt>
                <c:pt idx="10">
                  <c:v>5964.000000</c:v>
                </c:pt>
                <c:pt idx="11">
                  <c:v>5537.000000</c:v>
                </c:pt>
                <c:pt idx="12">
                  <c:v>6935.000000</c:v>
                </c:pt>
                <c:pt idx="13">
                  <c:v>11516.000000</c:v>
                </c:pt>
                <c:pt idx="14">
                  <c:v>11260.000000</c:v>
                </c:pt>
                <c:pt idx="15">
                  <c:v>14660.000000</c:v>
                </c:pt>
                <c:pt idx="16">
                  <c:v>9299.500000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'!$L$22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'!$G$23:$G$39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 '!$L$23:$L$39</c:f>
              <c:numCache>
                <c:ptCount val="17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583.000000</c:v>
                </c:pt>
                <c:pt idx="4">
                  <c:v>533.000000</c:v>
                </c:pt>
                <c:pt idx="5">
                  <c:v>5404.000000</c:v>
                </c:pt>
                <c:pt idx="6">
                  <c:v>5230.000000</c:v>
                </c:pt>
                <c:pt idx="7">
                  <c:v>5143.000000</c:v>
                </c:pt>
                <c:pt idx="8">
                  <c:v>4912.000000</c:v>
                </c:pt>
                <c:pt idx="9">
                  <c:v>5800.000000</c:v>
                </c:pt>
                <c:pt idx="10">
                  <c:v>7071.000000</c:v>
                </c:pt>
                <c:pt idx="11">
                  <c:v>7139.000000</c:v>
                </c:pt>
                <c:pt idx="12">
                  <c:v>6964.000000</c:v>
                </c:pt>
                <c:pt idx="13">
                  <c:v>6622.000000</c:v>
                </c:pt>
                <c:pt idx="14">
                  <c:v>6519.000000</c:v>
                </c:pt>
                <c:pt idx="15">
                  <c:v>7579.000000</c:v>
                </c:pt>
                <c:pt idx="16">
                  <c:v>7253.000000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'!$M$22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F8BA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'!$G$23:$G$39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 '!$M$23:$M$39</c:f>
              <c:numCache>
                <c:ptCount val="17"/>
                <c:pt idx="0">
                  <c:v>0.000000</c:v>
                </c:pt>
                <c:pt idx="1">
                  <c:v>0.000000</c:v>
                </c:pt>
                <c:pt idx="2">
                  <c:v>250.000000</c:v>
                </c:pt>
                <c:pt idx="3">
                  <c:v>583.000000</c:v>
                </c:pt>
                <c:pt idx="4">
                  <c:v>303.000000</c:v>
                </c:pt>
                <c:pt idx="5">
                  <c:v>4940.000000</c:v>
                </c:pt>
                <c:pt idx="6">
                  <c:v>4119.000000</c:v>
                </c:pt>
                <c:pt idx="7">
                  <c:v>4503.000000</c:v>
                </c:pt>
                <c:pt idx="8">
                  <c:v>7250.000000</c:v>
                </c:pt>
                <c:pt idx="9">
                  <c:v>8298.000000</c:v>
                </c:pt>
                <c:pt idx="10">
                  <c:v>13035.000000</c:v>
                </c:pt>
                <c:pt idx="11">
                  <c:v>12676.000000</c:v>
                </c:pt>
                <c:pt idx="12">
                  <c:v>13899.000000</c:v>
                </c:pt>
                <c:pt idx="13">
                  <c:v>18138.000000</c:v>
                </c:pt>
                <c:pt idx="14">
                  <c:v>17779.000000</c:v>
                </c:pt>
                <c:pt idx="15">
                  <c:v>22239.000000</c:v>
                </c:pt>
                <c:pt idx="16">
                  <c:v>16552.500000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9375"/>
        <c:minorUnit val="4687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91108"/>
          <c:y val="0.0562821"/>
          <c:w val="0.36319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650074</xdr:colOff>
      <xdr:row>2</xdr:row>
      <xdr:rowOff>153051</xdr:rowOff>
    </xdr:from>
    <xdr:to>
      <xdr:col>13</xdr:col>
      <xdr:colOff>1148672</xdr:colOff>
      <xdr:row>49</xdr:row>
      <xdr:rowOff>50209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36373" y="1341771"/>
          <a:ext cx="9210800" cy="118700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319221</xdr:colOff>
      <xdr:row>45</xdr:row>
      <xdr:rowOff>23122</xdr:rowOff>
    </xdr:from>
    <xdr:to>
      <xdr:col>6</xdr:col>
      <xdr:colOff>624339</xdr:colOff>
      <xdr:row>54</xdr:row>
      <xdr:rowOff>1722</xdr:rowOff>
    </xdr:to>
    <xdr:graphicFrame>
      <xdr:nvGraphicFramePr>
        <xdr:cNvPr id="4" name="2D Line Chart"/>
        <xdr:cNvGraphicFramePr/>
      </xdr:nvGraphicFramePr>
      <xdr:xfrm>
        <a:off x="1284421" y="12009382"/>
        <a:ext cx="3670619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377733</xdr:colOff>
      <xdr:row>42</xdr:row>
      <xdr:rowOff>238403</xdr:rowOff>
    </xdr:from>
    <xdr:to>
      <xdr:col>6</xdr:col>
      <xdr:colOff>565827</xdr:colOff>
      <xdr:row>45</xdr:row>
      <xdr:rowOff>215750</xdr:rowOff>
    </xdr:to>
    <xdr:sp>
      <xdr:nvSpPr>
        <xdr:cNvPr id="5" name="BSDE 16.6 trillion rupiah raised"/>
        <xdr:cNvSpPr txBox="1"/>
      </xdr:nvSpPr>
      <xdr:spPr>
        <a:xfrm>
          <a:off x="1342933" y="11305818"/>
          <a:ext cx="3553595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BSDE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16.6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raised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8594" style="1" customWidth="1"/>
    <col min="2" max="2" width="16.3516" style="1" customWidth="1"/>
    <col min="3" max="6" width="9.98438" style="1" customWidth="1"/>
    <col min="7" max="16384" width="16.3516" style="1" customWidth="1"/>
  </cols>
  <sheetData>
    <row r="1" ht="65.9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AVERAGE('Sales'!G21:G24)</f>
        <v>0.0679319760559416</v>
      </c>
      <c r="D4" s="8"/>
      <c r="E4" s="8"/>
      <c r="F4" s="9">
        <f>AVERAGE(C5:F5)</f>
        <v>0.0575</v>
      </c>
    </row>
    <row r="5" ht="20.05" customHeight="1">
      <c r="B5" t="s" s="10">
        <v>4</v>
      </c>
      <c r="C5" s="11">
        <v>0.1</v>
      </c>
      <c r="D5" s="12">
        <v>0.07000000000000001</v>
      </c>
      <c r="E5" s="12">
        <v>0.07000000000000001</v>
      </c>
      <c r="F5" s="12">
        <v>-0.01</v>
      </c>
    </row>
    <row r="6" ht="20.05" customHeight="1">
      <c r="B6" t="s" s="10">
        <v>5</v>
      </c>
      <c r="C6" s="13">
        <f>'Sales'!C24*(1+C5)</f>
        <v>2229.48</v>
      </c>
      <c r="D6" s="14">
        <f>C6*(1+D5)</f>
        <v>2385.5436</v>
      </c>
      <c r="E6" s="14">
        <f>D6*(1+E5)</f>
        <v>2552.531652</v>
      </c>
      <c r="F6" s="14">
        <f>E6*(1+F5)</f>
        <v>2527.00633548</v>
      </c>
    </row>
    <row r="7" ht="20.05" customHeight="1">
      <c r="B7" t="s" s="10">
        <v>6</v>
      </c>
      <c r="C7" s="15">
        <f>AVERAGE('Sales'!H24)</f>
        <v>-0.764110913755674</v>
      </c>
      <c r="D7" s="16">
        <f>C7</f>
        <v>-0.764110913755674</v>
      </c>
      <c r="E7" s="16">
        <f>D7</f>
        <v>-0.764110913755674</v>
      </c>
      <c r="F7" s="16">
        <f>E7</f>
        <v>-0.764110913755674</v>
      </c>
    </row>
    <row r="8" ht="20.05" customHeight="1">
      <c r="B8" t="s" s="10">
        <v>7</v>
      </c>
      <c r="C8" s="13">
        <f>C6*C7</f>
        <v>-1703.57</v>
      </c>
      <c r="D8" s="14">
        <f>D6*D7</f>
        <v>-1822.8199</v>
      </c>
      <c r="E8" s="14">
        <f>E6*E7</f>
        <v>-1950.417293</v>
      </c>
      <c r="F8" s="14">
        <f>F6*F7</f>
        <v>-1930.91312007</v>
      </c>
    </row>
    <row r="9" ht="20.05" customHeight="1">
      <c r="B9" t="s" s="10">
        <v>8</v>
      </c>
      <c r="C9" s="13">
        <f>C6+C8</f>
        <v>525.91</v>
      </c>
      <c r="D9" s="14">
        <f>D6+D8</f>
        <v>562.7237</v>
      </c>
      <c r="E9" s="14">
        <f>E6+E8</f>
        <v>602.114359</v>
      </c>
      <c r="F9" s="14">
        <f>F6+F8</f>
        <v>596.09321541</v>
      </c>
    </row>
    <row r="10" ht="20.05" customHeight="1">
      <c r="B10" t="s" s="10">
        <v>9</v>
      </c>
      <c r="C10" s="13">
        <f>AVERAGE('Cashflow '!D20:D23)</f>
        <v>-10.65</v>
      </c>
      <c r="D10" s="14">
        <f>C10</f>
        <v>-10.65</v>
      </c>
      <c r="E10" s="14">
        <f>D10</f>
        <v>-10.65</v>
      </c>
      <c r="F10" s="14">
        <f>E10</f>
        <v>-10.65</v>
      </c>
    </row>
    <row r="11" ht="20.05" customHeight="1">
      <c r="B11" t="s" s="10">
        <v>10</v>
      </c>
      <c r="C11" s="13">
        <f>'Cashflow '!F23</f>
        <v>-1.8</v>
      </c>
      <c r="D11" s="14">
        <f>C11</f>
        <v>-1.8</v>
      </c>
      <c r="E11" s="14">
        <f>D11</f>
        <v>-1.8</v>
      </c>
      <c r="F11" s="14">
        <f>E11</f>
        <v>-1.8</v>
      </c>
    </row>
    <row r="12" ht="20.05" customHeight="1">
      <c r="B12" t="s" s="10">
        <v>11</v>
      </c>
      <c r="C12" s="13">
        <f>C13+C16+C14</f>
        <v>-515.26</v>
      </c>
      <c r="D12" s="14">
        <f>D13+D16+D14</f>
        <v>-552.0737</v>
      </c>
      <c r="E12" s="14">
        <f>E13+E16+E14</f>
        <v>-591.4643589999999</v>
      </c>
      <c r="F12" s="14">
        <f>F13+F16+F14</f>
        <v>-585.44321541</v>
      </c>
    </row>
    <row r="13" ht="20.05" customHeight="1">
      <c r="B13" t="s" s="10">
        <v>12</v>
      </c>
      <c r="C13" s="13">
        <f>-'Balance sheet'!F23/20</f>
        <v>-1345.15</v>
      </c>
      <c r="D13" s="14">
        <f>-C28/20</f>
        <v>-1277.8925</v>
      </c>
      <c r="E13" s="14">
        <f>-D28/20</f>
        <v>-1213.997875</v>
      </c>
      <c r="F13" s="14">
        <f>-E28/20</f>
        <v>-1153.29798125</v>
      </c>
    </row>
    <row r="14" ht="20.05" customHeight="1">
      <c r="B14" t="s" s="10">
        <v>13</v>
      </c>
      <c r="C14" s="13">
        <f>-MIN(0,C17)</f>
        <v>829.89</v>
      </c>
      <c r="D14" s="14">
        <f>-MIN(C29,D17)</f>
        <v>725.8188</v>
      </c>
      <c r="E14" s="14">
        <f>-MIN(D29,E17)</f>
        <v>622.533516</v>
      </c>
      <c r="F14" s="14">
        <f>-MIN(E29,F17)</f>
        <v>567.85476584</v>
      </c>
    </row>
    <row r="15" ht="20.05" customHeight="1">
      <c r="B15" t="s" s="10">
        <v>14</v>
      </c>
      <c r="C15" s="17">
        <v>0</v>
      </c>
      <c r="D15" s="14"/>
      <c r="E15" s="14"/>
      <c r="F15" s="14"/>
    </row>
    <row r="16" ht="20.05" customHeight="1">
      <c r="B16" t="s" s="10">
        <v>15</v>
      </c>
      <c r="C16" s="13">
        <f>IF(C23&gt;0,-C23*$C$15,0)</f>
        <v>0</v>
      </c>
      <c r="D16" s="14">
        <f>IF(D23&gt;0,-D23*$C$15,0)</f>
        <v>0</v>
      </c>
      <c r="E16" s="14">
        <f>IF(E23&gt;0,-E23*$C$15,0)</f>
        <v>0</v>
      </c>
      <c r="F16" s="14">
        <f>IF(F23&gt;0,-F23*$C$15,0)</f>
        <v>0</v>
      </c>
    </row>
    <row r="17" ht="20.05" customHeight="1">
      <c r="B17" t="s" s="10">
        <v>16</v>
      </c>
      <c r="C17" s="13">
        <f>C9+C10+C13+C16</f>
        <v>-829.89</v>
      </c>
      <c r="D17" s="14">
        <f>D9+D10+D13+D16</f>
        <v>-725.8188</v>
      </c>
      <c r="E17" s="14">
        <f>E9+E10+E13+E16</f>
        <v>-622.533516</v>
      </c>
      <c r="F17" s="14">
        <f>F9+F10+F13+F16</f>
        <v>-567.85476584</v>
      </c>
    </row>
    <row r="18" ht="20.05" customHeight="1">
      <c r="B18" t="s" s="10">
        <v>17</v>
      </c>
      <c r="C18" s="13">
        <f>'Balance sheet'!B23</f>
        <v>8927</v>
      </c>
      <c r="D18" s="14">
        <f>C20</f>
        <v>8927</v>
      </c>
      <c r="E18" s="14">
        <f>D20</f>
        <v>8927</v>
      </c>
      <c r="F18" s="14">
        <f>E20</f>
        <v>8927</v>
      </c>
    </row>
    <row r="19" ht="20.05" customHeight="1">
      <c r="B19" t="s" s="10">
        <v>18</v>
      </c>
      <c r="C19" s="13">
        <f>C9+C10+C12</f>
        <v>0</v>
      </c>
      <c r="D19" s="14">
        <f>D9+D10+D12</f>
        <v>0</v>
      </c>
      <c r="E19" s="14">
        <f>E9+E10+E12</f>
        <v>0</v>
      </c>
      <c r="F19" s="14">
        <f>F9+F10+F12</f>
        <v>0</v>
      </c>
    </row>
    <row r="20" ht="20.05" customHeight="1">
      <c r="B20" t="s" s="10">
        <v>19</v>
      </c>
      <c r="C20" s="13">
        <f>C18+C19</f>
        <v>8927</v>
      </c>
      <c r="D20" s="14">
        <f>D18+D19</f>
        <v>8927</v>
      </c>
      <c r="E20" s="14">
        <f>E18+E19</f>
        <v>8927</v>
      </c>
      <c r="F20" s="14">
        <f>F18+F19</f>
        <v>8927</v>
      </c>
    </row>
    <row r="21" ht="20.05" customHeight="1">
      <c r="B21" t="s" s="18">
        <v>20</v>
      </c>
      <c r="C21" s="13"/>
      <c r="D21" s="14"/>
      <c r="E21" s="14"/>
      <c r="F21" s="19"/>
    </row>
    <row r="22" ht="20.05" customHeight="1">
      <c r="B22" t="s" s="10">
        <v>21</v>
      </c>
      <c r="C22" s="13">
        <f>-'Sales'!E24</f>
        <v>-106</v>
      </c>
      <c r="D22" s="14">
        <f>C22</f>
        <v>-106</v>
      </c>
      <c r="E22" s="14">
        <f>D22</f>
        <v>-106</v>
      </c>
      <c r="F22" s="14">
        <f>E22</f>
        <v>-106</v>
      </c>
    </row>
    <row r="23" ht="20.05" customHeight="1">
      <c r="B23" t="s" s="10">
        <v>22</v>
      </c>
      <c r="C23" s="13">
        <f>C6+C8+C22</f>
        <v>419.91</v>
      </c>
      <c r="D23" s="14">
        <f>D6+D8+D22</f>
        <v>456.7237</v>
      </c>
      <c r="E23" s="14">
        <f>E6+E8+E22</f>
        <v>496.114359</v>
      </c>
      <c r="F23" s="14">
        <f>F6+F8+F22</f>
        <v>490.09321541</v>
      </c>
    </row>
    <row r="24" ht="20.05" customHeight="1">
      <c r="B24" t="s" s="18">
        <v>23</v>
      </c>
      <c r="C24" s="13"/>
      <c r="D24" s="14"/>
      <c r="E24" s="14"/>
      <c r="F24" s="14"/>
    </row>
    <row r="25" ht="20.05" customHeight="1">
      <c r="B25" t="s" s="10">
        <v>24</v>
      </c>
      <c r="C25" s="13">
        <f>'Balance sheet'!D23+'Balance sheet'!E23-C10</f>
        <v>62639.65</v>
      </c>
      <c r="D25" s="14">
        <f>C25-D10</f>
        <v>62650.3</v>
      </c>
      <c r="E25" s="14">
        <f>D25-E10</f>
        <v>62660.95</v>
      </c>
      <c r="F25" s="14">
        <f>E25-F10</f>
        <v>62671.6</v>
      </c>
    </row>
    <row r="26" ht="20.05" customHeight="1">
      <c r="B26" t="s" s="10">
        <v>25</v>
      </c>
      <c r="C26" s="13">
        <f>'Balance sheet'!E23-C22</f>
        <v>8529</v>
      </c>
      <c r="D26" s="14">
        <f>C26-D22</f>
        <v>8635</v>
      </c>
      <c r="E26" s="14">
        <f>D26-E22</f>
        <v>8741</v>
      </c>
      <c r="F26" s="14">
        <f>E26-F22</f>
        <v>8847</v>
      </c>
    </row>
    <row r="27" ht="20.05" customHeight="1">
      <c r="B27" t="s" s="10">
        <v>26</v>
      </c>
      <c r="C27" s="13">
        <f>C25-C26</f>
        <v>54110.65</v>
      </c>
      <c r="D27" s="14">
        <f>D25-D26</f>
        <v>54015.3</v>
      </c>
      <c r="E27" s="14">
        <f>E25-E26</f>
        <v>53919.95</v>
      </c>
      <c r="F27" s="14">
        <f>F25-F26</f>
        <v>53824.6</v>
      </c>
    </row>
    <row r="28" ht="20.05" customHeight="1">
      <c r="B28" t="s" s="10">
        <v>12</v>
      </c>
      <c r="C28" s="13">
        <f>'Balance sheet'!F23+C13</f>
        <v>25557.85</v>
      </c>
      <c r="D28" s="14">
        <f>C28+D13</f>
        <v>24279.9575</v>
      </c>
      <c r="E28" s="14">
        <f>D28+E13</f>
        <v>23065.959625</v>
      </c>
      <c r="F28" s="14">
        <f>E28+F13</f>
        <v>21912.66164375</v>
      </c>
    </row>
    <row r="29" ht="20.05" customHeight="1">
      <c r="B29" t="s" s="10">
        <v>13</v>
      </c>
      <c r="C29" s="13">
        <f>C14</f>
        <v>829.89</v>
      </c>
      <c r="D29" s="14">
        <f>C29+D14</f>
        <v>1555.7088</v>
      </c>
      <c r="E29" s="14">
        <f>D29+E14</f>
        <v>2178.242316</v>
      </c>
      <c r="F29" s="14">
        <f>E29+F14</f>
        <v>2746.09708184</v>
      </c>
    </row>
    <row r="30" ht="20.05" customHeight="1">
      <c r="B30" t="s" s="10">
        <v>15</v>
      </c>
      <c r="C30" s="13">
        <f>'Balance sheet'!G23+C23+C16</f>
        <v>36649.91</v>
      </c>
      <c r="D30" s="14">
        <f>C30+D23+D16</f>
        <v>37106.6337</v>
      </c>
      <c r="E30" s="14">
        <f>D30+E23+E16</f>
        <v>37602.748059</v>
      </c>
      <c r="F30" s="14">
        <f>E30+F23+F16</f>
        <v>38092.84127441</v>
      </c>
    </row>
    <row r="31" ht="20.05" customHeight="1">
      <c r="B31" t="s" s="10">
        <v>27</v>
      </c>
      <c r="C31" s="13">
        <f>C28+C29+C30-C20-C27</f>
        <v>0</v>
      </c>
      <c r="D31" s="14">
        <f>D28+D29+D30-D20-D27</f>
        <v>0</v>
      </c>
      <c r="E31" s="14">
        <f>E28+E29+E30-E20-E27</f>
        <v>0</v>
      </c>
      <c r="F31" s="14">
        <f>F28+F29+F30-F20-F27</f>
        <v>0</v>
      </c>
    </row>
    <row r="32" ht="20.05" customHeight="1">
      <c r="B32" t="s" s="10">
        <v>28</v>
      </c>
      <c r="C32" s="13">
        <f>C20-C28-C29</f>
        <v>-17460.74</v>
      </c>
      <c r="D32" s="14">
        <f>D20-D28-D29</f>
        <v>-16908.6663</v>
      </c>
      <c r="E32" s="14">
        <f>E20-E28-E29</f>
        <v>-16317.201941</v>
      </c>
      <c r="F32" s="14">
        <f>F20-F28-F29</f>
        <v>-15731.75872559</v>
      </c>
    </row>
    <row r="33" ht="20.05" customHeight="1">
      <c r="B33" t="s" s="18">
        <v>29</v>
      </c>
      <c r="C33" s="13"/>
      <c r="D33" s="14"/>
      <c r="E33" s="14"/>
      <c r="F33" s="14"/>
    </row>
    <row r="34" ht="20.05" customHeight="1">
      <c r="B34" t="s" s="10">
        <v>30</v>
      </c>
      <c r="C34" s="13">
        <f>'Cashflow '!M23-(C12-C11)</f>
        <v>-16096.04</v>
      </c>
      <c r="D34" s="14">
        <f>C34-(D12-D11)</f>
        <v>-15545.7663</v>
      </c>
      <c r="E34" s="14">
        <f>D34-(E12-E11)</f>
        <v>-14956.101941</v>
      </c>
      <c r="F34" s="14">
        <f>E34-(F12-F11)</f>
        <v>-14372.45872559</v>
      </c>
    </row>
    <row r="35" ht="20.05" customHeight="1">
      <c r="B35" t="s" s="10">
        <v>31</v>
      </c>
      <c r="C35" s="13"/>
      <c r="D35" s="14"/>
      <c r="E35" s="14"/>
      <c r="F35" s="14">
        <v>20181430566912</v>
      </c>
    </row>
    <row r="36" ht="20.05" customHeight="1">
      <c r="B36" t="s" s="10">
        <v>31</v>
      </c>
      <c r="C36" s="13"/>
      <c r="D36" s="14"/>
      <c r="E36" s="14"/>
      <c r="F36" s="14">
        <f>F35/1000000000</f>
        <v>20181.430566912</v>
      </c>
    </row>
    <row r="37" ht="20.05" customHeight="1">
      <c r="B37" t="s" s="10">
        <v>32</v>
      </c>
      <c r="C37" s="13"/>
      <c r="D37" s="14"/>
      <c r="E37" s="14"/>
      <c r="F37" s="20">
        <f>F36/(F20+F27)</f>
        <v>0.321608223008051</v>
      </c>
    </row>
    <row r="38" ht="20.05" customHeight="1">
      <c r="B38" t="s" s="10">
        <v>33</v>
      </c>
      <c r="C38" s="13"/>
      <c r="D38" s="14"/>
      <c r="E38" s="14"/>
      <c r="F38" s="16">
        <f>-(C16+D16+E16+F16)/F36</f>
        <v>0</v>
      </c>
    </row>
    <row r="39" ht="20.05" customHeight="1">
      <c r="B39" t="s" s="10">
        <v>3</v>
      </c>
      <c r="C39" s="21"/>
      <c r="D39" s="19"/>
      <c r="E39" s="19"/>
      <c r="F39" s="14">
        <f>SUM(C9:F11)</f>
        <v>2237.04127441</v>
      </c>
    </row>
    <row r="40" ht="20.05" customHeight="1">
      <c r="B40" t="s" s="10">
        <v>34</v>
      </c>
      <c r="C40" s="21"/>
      <c r="D40" s="19"/>
      <c r="E40" s="19"/>
      <c r="F40" s="14">
        <f>'Balance sheet'!D23/F39</f>
        <v>24.2311130420677</v>
      </c>
    </row>
    <row r="41" ht="20.05" customHeight="1">
      <c r="B41" t="s" s="10">
        <v>29</v>
      </c>
      <c r="C41" s="21"/>
      <c r="D41" s="19"/>
      <c r="E41" s="19"/>
      <c r="F41" s="14">
        <f>F36/F39</f>
        <v>9.02148333058123</v>
      </c>
    </row>
    <row r="42" ht="20.05" customHeight="1">
      <c r="B42" t="s" s="10">
        <v>35</v>
      </c>
      <c r="C42" s="21"/>
      <c r="D42" s="19"/>
      <c r="E42" s="19"/>
      <c r="F42" s="14">
        <v>13</v>
      </c>
    </row>
    <row r="43" ht="20.05" customHeight="1">
      <c r="B43" t="s" s="10">
        <v>36</v>
      </c>
      <c r="C43" s="21"/>
      <c r="D43" s="19"/>
      <c r="E43" s="19"/>
      <c r="F43" s="14">
        <f>F39*F42</f>
        <v>29081.53656733</v>
      </c>
    </row>
    <row r="44" ht="20.05" customHeight="1">
      <c r="B44" t="s" s="10">
        <v>37</v>
      </c>
      <c r="C44" s="21"/>
      <c r="D44" s="19"/>
      <c r="E44" s="19"/>
      <c r="F44" s="14">
        <f>F36/F46</f>
        <v>20.9133995512041</v>
      </c>
    </row>
    <row r="45" ht="20.05" customHeight="1">
      <c r="B45" t="s" s="10">
        <v>38</v>
      </c>
      <c r="C45" s="21"/>
      <c r="D45" s="19"/>
      <c r="E45" s="19"/>
      <c r="F45" s="14">
        <f>F43/F44</f>
        <v>1390.569548299750</v>
      </c>
    </row>
    <row r="46" ht="20.05" customHeight="1">
      <c r="B46" t="s" s="10">
        <v>39</v>
      </c>
      <c r="C46" s="21"/>
      <c r="D46" s="19"/>
      <c r="E46" s="19"/>
      <c r="F46" s="14">
        <v>965</v>
      </c>
    </row>
    <row r="47" ht="20.05" customHeight="1">
      <c r="B47" t="s" s="10">
        <v>40</v>
      </c>
      <c r="C47" s="21"/>
      <c r="D47" s="19"/>
      <c r="E47" s="19"/>
      <c r="F47" s="16">
        <f>F45/F46-1</f>
        <v>0.44100471326399</v>
      </c>
    </row>
    <row r="48" ht="20.05" customHeight="1">
      <c r="B48" t="s" s="10">
        <v>41</v>
      </c>
      <c r="C48" s="13"/>
      <c r="D48" s="14"/>
      <c r="E48" s="14"/>
      <c r="F48" s="16">
        <f>'Sales'!C24/'Sales'!C20-1</f>
        <v>0.214379868184542</v>
      </c>
    </row>
    <row r="49" ht="20.05" customHeight="1">
      <c r="B49" t="s" s="10">
        <v>42</v>
      </c>
      <c r="C49" s="13"/>
      <c r="D49" s="14"/>
      <c r="E49" s="14"/>
      <c r="F49" s="16">
        <f>'Sales'!F27/'Sales'!E27-1</f>
        <v>-0.0619011761777335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0547" style="22" customWidth="1"/>
    <col min="2" max="2" width="12.125" style="22" customWidth="1"/>
    <col min="3" max="10" width="10.0703" style="22" customWidth="1"/>
    <col min="11" max="16384" width="16.3516" style="22" customWidth="1"/>
  </cols>
  <sheetData>
    <row r="1" ht="8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43</v>
      </c>
      <c r="C3" t="s" s="5">
        <v>5</v>
      </c>
      <c r="D3" t="s" s="5">
        <v>35</v>
      </c>
      <c r="E3" t="s" s="5">
        <v>44</v>
      </c>
      <c r="F3" t="s" s="5">
        <v>20</v>
      </c>
      <c r="G3" t="s" s="5">
        <v>4</v>
      </c>
      <c r="H3" t="s" s="5">
        <v>6</v>
      </c>
      <c r="I3" t="s" s="5">
        <v>6</v>
      </c>
      <c r="J3" t="s" s="5">
        <v>35</v>
      </c>
    </row>
    <row r="4" ht="20.25" customHeight="1">
      <c r="B4" s="23">
        <v>2017</v>
      </c>
      <c r="C4" s="24">
        <f>'Data'!D3</f>
        <v>1754</v>
      </c>
      <c r="D4" s="8"/>
      <c r="E4" s="25">
        <v>77</v>
      </c>
      <c r="F4" s="26">
        <f>'Data'!F3</f>
        <v>792</v>
      </c>
      <c r="G4" s="26"/>
      <c r="H4" s="27">
        <f>(F4+E4-C4)/C4</f>
        <v>-0.5045610034207531</v>
      </c>
      <c r="I4" s="27"/>
      <c r="J4" s="27"/>
    </row>
    <row r="5" ht="20.05" customHeight="1">
      <c r="B5" s="28"/>
      <c r="C5" s="13">
        <f>'Data'!D4-'Data'!D3</f>
        <v>2459</v>
      </c>
      <c r="D5" s="19"/>
      <c r="E5" s="29">
        <v>77</v>
      </c>
      <c r="F5" s="14">
        <f>'Data'!F4-'Data'!F3</f>
        <v>1335</v>
      </c>
      <c r="G5" s="14"/>
      <c r="H5" s="16">
        <f>(F5+E5-C5)/C5</f>
        <v>-0.425782838552257</v>
      </c>
      <c r="I5" s="16"/>
      <c r="J5" s="16"/>
    </row>
    <row r="6" ht="20.05" customHeight="1">
      <c r="B6" s="28"/>
      <c r="C6" s="13">
        <f>'Data'!D5-'Data'!D4</f>
        <v>1614</v>
      </c>
      <c r="D6" s="19"/>
      <c r="E6" s="29">
        <v>77</v>
      </c>
      <c r="F6" s="14">
        <f>'Data'!F5-'Data'!F4</f>
        <v>332</v>
      </c>
      <c r="G6" s="14"/>
      <c r="H6" s="16">
        <f>(F6+E6-C6)/C6</f>
        <v>-0.746592317224287</v>
      </c>
      <c r="I6" s="16"/>
      <c r="J6" s="16"/>
    </row>
    <row r="7" ht="20.05" customHeight="1">
      <c r="B7" s="28"/>
      <c r="C7" s="13">
        <f>'Data'!D6-'Data'!D5</f>
        <v>4520</v>
      </c>
      <c r="D7" s="19"/>
      <c r="E7" s="29">
        <v>77</v>
      </c>
      <c r="F7" s="14">
        <f>'Data'!F6-'Data'!F5</f>
        <v>2708</v>
      </c>
      <c r="G7" s="14"/>
      <c r="H7" s="16">
        <f>(F7+E7-C7)/C7</f>
        <v>-0.383849557522124</v>
      </c>
      <c r="I7" s="16"/>
      <c r="J7" s="16"/>
    </row>
    <row r="8" ht="20.05" customHeight="1">
      <c r="B8" s="30">
        <v>2018</v>
      </c>
      <c r="C8" s="13">
        <f>'Data'!D7</f>
        <v>1702</v>
      </c>
      <c r="D8" s="19"/>
      <c r="E8" s="29">
        <v>98</v>
      </c>
      <c r="F8" s="14">
        <f>'Data'!F7</f>
        <v>499</v>
      </c>
      <c r="G8" s="14"/>
      <c r="H8" s="16">
        <f>(F8+E8-C8)/C8</f>
        <v>-0.649236192714454</v>
      </c>
      <c r="I8" s="16">
        <f>AVERAGE(H5:H8)</f>
        <v>-0.551365226503281</v>
      </c>
      <c r="J8" s="16"/>
    </row>
    <row r="9" ht="20.05" customHeight="1">
      <c r="B9" s="28"/>
      <c r="C9" s="13">
        <f>'Data'!D8-'Data'!D7</f>
        <v>1418</v>
      </c>
      <c r="D9" s="19"/>
      <c r="E9" s="29">
        <v>98</v>
      </c>
      <c r="F9" s="14">
        <f>'Data'!F8-'Data'!F7</f>
        <v>80</v>
      </c>
      <c r="G9" s="14"/>
      <c r="H9" s="16">
        <f>(F9+E9-C9)/C9</f>
        <v>-0.874471086036671</v>
      </c>
      <c r="I9" s="16">
        <f>AVERAGE(H6:H9)</f>
        <v>-0.663537288374384</v>
      </c>
      <c r="J9" s="16"/>
    </row>
    <row r="10" ht="20.05" customHeight="1">
      <c r="B10" s="28"/>
      <c r="C10" s="13">
        <f>'Data'!D9-'Data'!D8</f>
        <v>1667</v>
      </c>
      <c r="D10" s="19"/>
      <c r="E10" s="29">
        <v>98</v>
      </c>
      <c r="F10" s="14">
        <f>'Data'!F9-'Data'!F8</f>
        <v>298</v>
      </c>
      <c r="G10" s="14"/>
      <c r="H10" s="16">
        <f>(F10+E10-C10)/C10</f>
        <v>-0.7624475104979</v>
      </c>
      <c r="I10" s="16">
        <f>AVERAGE(H7:H10)</f>
        <v>-0.667501086692787</v>
      </c>
      <c r="J10" s="16"/>
    </row>
    <row r="11" ht="20.05" customHeight="1">
      <c r="B11" s="28"/>
      <c r="C11" s="13">
        <f>'Data'!D10-'Data'!D9</f>
        <v>1842</v>
      </c>
      <c r="D11" s="19"/>
      <c r="E11" s="29">
        <v>98</v>
      </c>
      <c r="F11" s="14">
        <f>'Data'!F10-'Data'!F9</f>
        <v>825</v>
      </c>
      <c r="G11" s="14"/>
      <c r="H11" s="16">
        <f>(F11+E11-C11)/C11</f>
        <v>-0.498914223669924</v>
      </c>
      <c r="I11" s="16">
        <f>AVERAGE(H8:H11)</f>
        <v>-0.696267253229737</v>
      </c>
      <c r="J11" s="16"/>
    </row>
    <row r="12" ht="20.05" customHeight="1">
      <c r="B12" s="30">
        <v>2019</v>
      </c>
      <c r="C12" s="13">
        <f>'Data'!D11</f>
        <v>1630</v>
      </c>
      <c r="D12" s="19"/>
      <c r="E12" s="29">
        <v>89.75</v>
      </c>
      <c r="F12" s="14">
        <f>'Data'!F11</f>
        <v>716</v>
      </c>
      <c r="G12" s="14"/>
      <c r="H12" s="16">
        <f>(F12+E12-C12)/C12</f>
        <v>-0.505674846625767</v>
      </c>
      <c r="I12" s="16">
        <f>AVERAGE(H9:H12)</f>
        <v>-0.660376916707566</v>
      </c>
      <c r="J12" s="16"/>
    </row>
    <row r="13" ht="20.05" customHeight="1">
      <c r="B13" s="28"/>
      <c r="C13" s="13">
        <f>'Data'!D12-'Data'!D11</f>
        <v>1971</v>
      </c>
      <c r="D13" s="19"/>
      <c r="E13" s="29">
        <v>89.75</v>
      </c>
      <c r="F13" s="14">
        <f>'Data'!F12-'Data'!F11</f>
        <v>1537</v>
      </c>
      <c r="G13" s="14"/>
      <c r="H13" s="16">
        <f>(F13+E13-C13)/C13</f>
        <v>-0.174657534246575</v>
      </c>
      <c r="I13" s="16">
        <f>AVERAGE(H10:H13)</f>
        <v>-0.485423528760042</v>
      </c>
      <c r="J13" s="16"/>
    </row>
    <row r="14" ht="20.05" customHeight="1">
      <c r="B14" s="28"/>
      <c r="C14" s="13">
        <f>'Data'!D13-'Data'!D12</f>
        <v>1630</v>
      </c>
      <c r="D14" s="19"/>
      <c r="E14" s="29">
        <v>89.75</v>
      </c>
      <c r="F14" s="14">
        <f>'Data'!F13-'Data'!F12</f>
        <v>268</v>
      </c>
      <c r="G14" s="14"/>
      <c r="H14" s="16">
        <f>(F14+E14-C14)/C14</f>
        <v>-0.780521472392638</v>
      </c>
      <c r="I14" s="16">
        <f>AVERAGE(H11:H14)</f>
        <v>-0.489942019233726</v>
      </c>
      <c r="J14" s="16"/>
    </row>
    <row r="15" ht="20.05" customHeight="1">
      <c r="B15" s="28"/>
      <c r="C15" s="13">
        <f>'Data'!D14-'Data'!D13</f>
        <v>1854</v>
      </c>
      <c r="D15" s="19"/>
      <c r="E15" s="29">
        <v>89.75</v>
      </c>
      <c r="F15" s="14">
        <f>'Data'!F14-'Data'!F13</f>
        <v>609</v>
      </c>
      <c r="G15" s="14"/>
      <c r="H15" s="16">
        <f>(F15+E15-C15)/C15</f>
        <v>-0.623112189859763</v>
      </c>
      <c r="I15" s="16">
        <f>AVERAGE(H12:H15)</f>
        <v>-0.520991510781186</v>
      </c>
      <c r="J15" s="16"/>
    </row>
    <row r="16" ht="20.05" customHeight="1">
      <c r="B16" s="30">
        <v>2020</v>
      </c>
      <c r="C16" s="13">
        <v>1497</v>
      </c>
      <c r="D16" s="19"/>
      <c r="E16" s="29">
        <v>99.25</v>
      </c>
      <c r="F16" s="14">
        <v>309</v>
      </c>
      <c r="G16" s="14"/>
      <c r="H16" s="16">
        <f>(F16+E16-C16)/C16</f>
        <v>-0.727287909151637</v>
      </c>
      <c r="I16" s="16">
        <f>AVERAGE(H13:H16)</f>
        <v>-0.576394776412653</v>
      </c>
      <c r="J16" s="16"/>
    </row>
    <row r="17" ht="20.05" customHeight="1">
      <c r="B17" s="28"/>
      <c r="C17" s="13">
        <f>2338-C16</f>
        <v>841</v>
      </c>
      <c r="D17" s="14"/>
      <c r="E17" s="14">
        <v>99.25</v>
      </c>
      <c r="F17" s="14">
        <v>-508</v>
      </c>
      <c r="G17" s="16">
        <f>C17/C16-1</f>
        <v>-0.438209752839011</v>
      </c>
      <c r="H17" s="16">
        <f>(F17+E17-C17)/C17</f>
        <v>-1.48602853745541</v>
      </c>
      <c r="I17" s="16">
        <f>AVERAGE(H14:H17)</f>
        <v>-0.9042375272148619</v>
      </c>
      <c r="J17" s="16"/>
    </row>
    <row r="18" ht="20.05" customHeight="1">
      <c r="B18" s="28"/>
      <c r="C18" s="13">
        <f>4280-C17-C16</f>
        <v>1942</v>
      </c>
      <c r="D18" s="14"/>
      <c r="E18" s="14">
        <v>99.25</v>
      </c>
      <c r="F18" s="14">
        <v>827</v>
      </c>
      <c r="G18" s="16">
        <f>C18/C17-1</f>
        <v>1.30915576694411</v>
      </c>
      <c r="H18" s="16">
        <f>(F18+E18-C18)/C18</f>
        <v>-0.523043254376931</v>
      </c>
      <c r="I18" s="16">
        <f>AVERAGE(H15:H18)</f>
        <v>-0.8398679727109351</v>
      </c>
      <c r="J18" s="16"/>
    </row>
    <row r="19" ht="20.05" customHeight="1">
      <c r="B19" s="28"/>
      <c r="C19" s="13">
        <f>6181-C18-C17-C16</f>
        <v>1901</v>
      </c>
      <c r="D19" s="14"/>
      <c r="E19" s="14">
        <v>99.25</v>
      </c>
      <c r="F19" s="14">
        <v>-142</v>
      </c>
      <c r="G19" s="16">
        <f>C19/C18-1</f>
        <v>-0.0211122554067971</v>
      </c>
      <c r="H19" s="16">
        <f>(F19+E19-C19)/C19</f>
        <v>-1.02248816412415</v>
      </c>
      <c r="I19" s="16">
        <f>AVERAGE(H16:H19)</f>
        <v>-0.939711966277032</v>
      </c>
      <c r="J19" s="16"/>
    </row>
    <row r="20" ht="20.05" customHeight="1">
      <c r="B20" s="30">
        <v>2021</v>
      </c>
      <c r="C20" s="13">
        <v>1669</v>
      </c>
      <c r="D20" s="19"/>
      <c r="E20" s="29">
        <v>108.25</v>
      </c>
      <c r="F20" s="14">
        <v>629</v>
      </c>
      <c r="G20" s="16">
        <f>C20/C19-1</f>
        <v>-0.122041031036297</v>
      </c>
      <c r="H20" s="16">
        <f>(F20+E20-C20)/C20</f>
        <v>-0.558268424206111</v>
      </c>
      <c r="I20" s="16">
        <f>AVERAGE(H17:H20)</f>
        <v>-0.897457095040651</v>
      </c>
      <c r="J20" s="16"/>
    </row>
    <row r="21" ht="20.05" customHeight="1">
      <c r="B21" s="28"/>
      <c r="C21" s="13">
        <f>3254-C20</f>
        <v>1585</v>
      </c>
      <c r="D21" s="14"/>
      <c r="E21" s="14">
        <v>108.25</v>
      </c>
      <c r="F21" s="14">
        <v>118</v>
      </c>
      <c r="G21" s="16">
        <f>C21/C20-1</f>
        <v>-0.0503295386458957</v>
      </c>
      <c r="H21" s="16">
        <f>(F21+E21-C21)/C21</f>
        <v>-0.857255520504732</v>
      </c>
      <c r="I21" s="16">
        <f>AVERAGE(H18:H21)</f>
        <v>-0.740263840802981</v>
      </c>
      <c r="J21" s="16"/>
    </row>
    <row r="22" ht="20.05" customHeight="1">
      <c r="B22" s="28"/>
      <c r="C22" s="13">
        <f>5167.2-C21-C20</f>
        <v>1913.2</v>
      </c>
      <c r="D22" s="14">
        <v>1744</v>
      </c>
      <c r="E22" s="14">
        <v>108.25</v>
      </c>
      <c r="F22" s="14">
        <v>285.4</v>
      </c>
      <c r="G22" s="16">
        <f>C22/C21-1</f>
        <v>0.207066246056782</v>
      </c>
      <c r="H22" s="16">
        <f>(F22+E22-C22)/C22</f>
        <v>-0.794245243570981</v>
      </c>
      <c r="I22" s="16">
        <f>AVERAGE(H19:H22)</f>
        <v>-0.808064338101494</v>
      </c>
      <c r="J22" s="16"/>
    </row>
    <row r="23" ht="20.05" customHeight="1">
      <c r="B23" s="28"/>
      <c r="C23" s="13">
        <f>7654.8-C22-C21-C20</f>
        <v>2487.6</v>
      </c>
      <c r="D23" s="14">
        <v>1823</v>
      </c>
      <c r="E23" s="14">
        <v>108.25</v>
      </c>
      <c r="F23" s="14">
        <v>506.4</v>
      </c>
      <c r="G23" s="16">
        <f>C23/C22-1</f>
        <v>0.300229981183358</v>
      </c>
      <c r="H23" s="16">
        <f>(F23+E23-C23)/C23</f>
        <v>-0.752914455700273</v>
      </c>
      <c r="I23" s="16">
        <f>AVERAGE(H20:H23)</f>
        <v>-0.740670910995524</v>
      </c>
      <c r="J23" s="16"/>
    </row>
    <row r="24" ht="20.05" customHeight="1">
      <c r="B24" s="30">
        <v>2022</v>
      </c>
      <c r="C24" s="13">
        <v>2026.8</v>
      </c>
      <c r="D24" s="14">
        <v>2462.724</v>
      </c>
      <c r="E24" s="14">
        <v>106</v>
      </c>
      <c r="F24" s="14">
        <v>372.1</v>
      </c>
      <c r="G24" s="16">
        <f>C24/C23-1</f>
        <v>-0.185238784370478</v>
      </c>
      <c r="H24" s="16">
        <f>(F24+E24-C24)/C24</f>
        <v>-0.764110913755674</v>
      </c>
      <c r="I24" s="16">
        <f>AVERAGE(H21:H24)</f>
        <v>-0.792131533382915</v>
      </c>
      <c r="J24" s="16">
        <v>-0.727287909151637</v>
      </c>
    </row>
    <row r="25" ht="20.05" customHeight="1">
      <c r="B25" s="28"/>
      <c r="C25" s="13"/>
      <c r="D25" s="14">
        <f>'Model'!C6</f>
        <v>2229.48</v>
      </c>
      <c r="E25" s="14"/>
      <c r="F25" s="14"/>
      <c r="G25" s="14"/>
      <c r="H25" s="14"/>
      <c r="I25" s="16"/>
      <c r="J25" s="16">
        <f>'Model'!C7</f>
        <v>-0.764110913755674</v>
      </c>
    </row>
    <row r="26" ht="20.05" customHeight="1">
      <c r="B26" s="28"/>
      <c r="C26" s="13"/>
      <c r="D26" s="14">
        <f>'Model'!D6</f>
        <v>2385.5436</v>
      </c>
      <c r="E26" s="14"/>
      <c r="F26" s="14"/>
      <c r="G26" s="14"/>
      <c r="H26" s="14"/>
      <c r="I26" s="14"/>
      <c r="J26" s="14"/>
    </row>
    <row r="27" ht="20.05" customHeight="1">
      <c r="B27" s="28"/>
      <c r="C27" s="13"/>
      <c r="D27" s="14">
        <f>'Model'!E6</f>
        <v>2552.531652</v>
      </c>
      <c r="E27" s="14">
        <f>SUM(C22:C24)</f>
        <v>6427.6</v>
      </c>
      <c r="F27" s="14">
        <f>SUM(D22:D24)</f>
        <v>6029.724</v>
      </c>
      <c r="G27" s="14"/>
      <c r="H27" s="14"/>
      <c r="I27" s="14"/>
      <c r="J27" s="14"/>
    </row>
    <row r="28" ht="20.05" customHeight="1">
      <c r="B28" s="30">
        <v>2023</v>
      </c>
      <c r="C28" s="13"/>
      <c r="D28" s="14">
        <f>'Model'!F6</f>
        <v>2527.00633548</v>
      </c>
      <c r="E28" s="14"/>
      <c r="F28" s="14"/>
      <c r="G28" s="14"/>
      <c r="H28" s="14"/>
      <c r="I28" s="14"/>
      <c r="J28" s="14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O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5" width="10.25" style="31" customWidth="1"/>
    <col min="16" max="16384" width="16.3516" style="31" customWidth="1"/>
  </cols>
  <sheetData>
    <row r="1" ht="27.65" customHeight="1">
      <c r="A1" t="s" s="2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2.25" customHeight="1">
      <c r="A2" t="s" s="5">
        <v>1</v>
      </c>
      <c r="B2" t="s" s="5">
        <v>46</v>
      </c>
      <c r="C2" t="s" s="5">
        <v>8</v>
      </c>
      <c r="D2" t="s" s="5">
        <v>47</v>
      </c>
      <c r="E2" t="s" s="5">
        <v>48</v>
      </c>
      <c r="F2" t="s" s="5">
        <v>49</v>
      </c>
      <c r="G2" t="s" s="5">
        <v>12</v>
      </c>
      <c r="H2" t="s" s="5">
        <v>15</v>
      </c>
      <c r="I2" t="s" s="5">
        <v>50</v>
      </c>
      <c r="J2" t="s" s="5">
        <v>51</v>
      </c>
      <c r="K2" t="s" s="5">
        <v>3</v>
      </c>
      <c r="L2" t="s" s="5">
        <v>35</v>
      </c>
      <c r="M2" t="s" s="5">
        <v>30</v>
      </c>
      <c r="N2" t="s" s="5">
        <v>35</v>
      </c>
      <c r="O2" s="32"/>
    </row>
    <row r="3" ht="20.25" customHeight="1">
      <c r="A3" s="23">
        <v>2017</v>
      </c>
      <c r="B3" s="24">
        <f>'Data'!G3</f>
        <v>2403</v>
      </c>
      <c r="C3" s="26">
        <f>'Data'!H3</f>
        <v>1136.5</v>
      </c>
      <c r="D3" s="26">
        <f>'Data'!I3</f>
        <v>-102.5</v>
      </c>
      <c r="E3" s="26">
        <v>-140.5</v>
      </c>
      <c r="F3" s="26"/>
      <c r="G3" s="26"/>
      <c r="H3" s="26"/>
      <c r="I3" s="26">
        <f>'Data'!K3</f>
        <v>-23.1</v>
      </c>
      <c r="J3" s="26">
        <f>C3+D3+E3+F3</f>
        <v>893.5</v>
      </c>
      <c r="K3" s="8"/>
      <c r="L3" s="8"/>
      <c r="M3" s="8"/>
      <c r="N3" s="8"/>
      <c r="O3" s="8"/>
    </row>
    <row r="4" ht="20.05" customHeight="1">
      <c r="A4" s="28"/>
      <c r="B4" s="13">
        <f>'Data'!G4-'Data'!G3</f>
        <v>3223</v>
      </c>
      <c r="C4" s="14">
        <f>'Data'!H4-'Data'!H3</f>
        <v>761.7</v>
      </c>
      <c r="D4" s="14">
        <f>'Data'!I4-'Data'!I3</f>
        <v>-604.8</v>
      </c>
      <c r="E4" s="14">
        <v>-140.5</v>
      </c>
      <c r="F4" s="14"/>
      <c r="G4" s="14"/>
      <c r="H4" s="14"/>
      <c r="I4" s="14">
        <f>'Data'!K4-'Data'!K3</f>
        <v>672.3</v>
      </c>
      <c r="J4" s="14">
        <f>C4+D4+E4+F4</f>
        <v>16.4</v>
      </c>
      <c r="K4" s="19"/>
      <c r="L4" s="19"/>
      <c r="M4" s="19"/>
      <c r="N4" s="19"/>
      <c r="O4" s="19"/>
    </row>
    <row r="5" ht="20.05" customHeight="1">
      <c r="A5" s="28"/>
      <c r="B5" s="13">
        <f>'Data'!G5-'Data'!G4</f>
        <v>2315</v>
      </c>
      <c r="C5" s="14">
        <f>'Data'!H5-'Data'!H4</f>
        <v>131.8</v>
      </c>
      <c r="D5" s="14">
        <f>'Data'!I5-'Data'!I4</f>
        <v>-598.7</v>
      </c>
      <c r="E5" s="14">
        <v>-140.5</v>
      </c>
      <c r="F5" s="14"/>
      <c r="G5" s="14"/>
      <c r="H5" s="14"/>
      <c r="I5" s="14">
        <f>'Data'!K5-'Data'!K4</f>
        <v>-390.8</v>
      </c>
      <c r="J5" s="14">
        <f>C5+D5+E5+F5</f>
        <v>-607.4</v>
      </c>
      <c r="K5" s="19"/>
      <c r="L5" s="19"/>
      <c r="M5" s="19"/>
      <c r="N5" s="19"/>
      <c r="O5" s="19"/>
    </row>
    <row r="6" ht="20.05" customHeight="1">
      <c r="A6" s="28"/>
      <c r="B6" s="13">
        <f>'Data'!G6-'Data'!G5</f>
        <v>3185</v>
      </c>
      <c r="C6" s="14">
        <f>'Data'!H6-'Data'!H5</f>
        <v>2617.4</v>
      </c>
      <c r="D6" s="14">
        <f>'Data'!I6-'Data'!I5</f>
        <v>-1692.6</v>
      </c>
      <c r="E6" s="14">
        <v>-140.5</v>
      </c>
      <c r="F6" s="14"/>
      <c r="G6" s="14"/>
      <c r="H6" s="14"/>
      <c r="I6" s="14">
        <f>'Data'!K6-'Data'!K5</f>
        <v>337.1</v>
      </c>
      <c r="J6" s="14">
        <f>C6+D6+E6+F6</f>
        <v>784.3</v>
      </c>
      <c r="K6" s="19"/>
      <c r="L6" s="19"/>
      <c r="M6" s="19"/>
      <c r="N6" s="19"/>
      <c r="O6" s="19"/>
    </row>
    <row r="7" ht="20.05" customHeight="1">
      <c r="A7" s="30">
        <v>2018</v>
      </c>
      <c r="B7" s="13">
        <f>'Data'!G7</f>
        <v>1953</v>
      </c>
      <c r="C7" s="14">
        <f>'Data'!H7</f>
        <v>338</v>
      </c>
      <c r="D7" s="14">
        <f>'Data'!I7</f>
        <v>-3275.2</v>
      </c>
      <c r="E7" s="14">
        <v>-206.75</v>
      </c>
      <c r="F7" s="14"/>
      <c r="G7" s="14"/>
      <c r="H7" s="14"/>
      <c r="I7" s="14">
        <f>'Data'!K7</f>
        <v>1992</v>
      </c>
      <c r="J7" s="14">
        <f>C7+D7+E7+F7</f>
        <v>-3143.95</v>
      </c>
      <c r="K7" s="14">
        <f>AVERAGE(J4:J7)</f>
        <v>-737.6625</v>
      </c>
      <c r="L7" s="19"/>
      <c r="M7" s="19"/>
      <c r="N7" s="19"/>
      <c r="O7" s="19"/>
    </row>
    <row r="8" ht="20.05" customHeight="1">
      <c r="A8" s="28"/>
      <c r="B8" s="13">
        <f>'Data'!G8-'Data'!G7</f>
        <v>1711</v>
      </c>
      <c r="C8" s="14">
        <f>'Data'!H8-'Data'!H7</f>
        <v>159.4</v>
      </c>
      <c r="D8" s="14">
        <f>'Data'!I8-'Data'!I7</f>
        <v>1514.7</v>
      </c>
      <c r="E8" s="14">
        <v>-206.75</v>
      </c>
      <c r="F8" s="14"/>
      <c r="G8" s="14"/>
      <c r="H8" s="14"/>
      <c r="I8" s="14">
        <f>'Data'!K8-'Data'!K7</f>
        <v>2190.1</v>
      </c>
      <c r="J8" s="14">
        <f>C8+D8+E8+F8</f>
        <v>1467.35</v>
      </c>
      <c r="K8" s="14">
        <f>AVERAGE(J5:J8)</f>
        <v>-374.925</v>
      </c>
      <c r="L8" s="19"/>
      <c r="M8" s="19"/>
      <c r="N8" s="19"/>
      <c r="O8" s="19"/>
    </row>
    <row r="9" ht="20.05" customHeight="1">
      <c r="A9" s="28"/>
      <c r="B9" s="13">
        <f>'Data'!G9-'Data'!G8</f>
        <v>2060</v>
      </c>
      <c r="C9" s="14">
        <f>'Data'!H9-'Data'!H8</f>
        <v>357.4</v>
      </c>
      <c r="D9" s="14">
        <f>'Data'!I9-'Data'!I8</f>
        <v>-544.9</v>
      </c>
      <c r="E9" s="14">
        <v>-206.75</v>
      </c>
      <c r="F9" s="14"/>
      <c r="G9" s="14"/>
      <c r="H9" s="14"/>
      <c r="I9" s="14">
        <f>'Data'!K9-'Data'!K8</f>
        <v>27.4</v>
      </c>
      <c r="J9" s="14">
        <f>C9+D9+E9+F9</f>
        <v>-394.25</v>
      </c>
      <c r="K9" s="14">
        <f>AVERAGE(J6:J9)</f>
        <v>-321.6375</v>
      </c>
      <c r="L9" s="19"/>
      <c r="M9" s="19"/>
      <c r="N9" s="19"/>
      <c r="O9" s="19"/>
    </row>
    <row r="10" ht="20.05" customHeight="1">
      <c r="A10" s="28"/>
      <c r="B10" s="13">
        <f>'Data'!G10-'Data'!G9</f>
        <v>2018</v>
      </c>
      <c r="C10" s="14">
        <f>'Data'!H10-'Data'!H9</f>
        <v>761.9</v>
      </c>
      <c r="D10" s="14">
        <f>'Data'!I10-'Data'!I9</f>
        <v>-346.3</v>
      </c>
      <c r="E10" s="14">
        <v>-206.75</v>
      </c>
      <c r="F10" s="14"/>
      <c r="G10" s="14"/>
      <c r="H10" s="14"/>
      <c r="I10" s="14">
        <f>'Data'!K10-'Data'!K9</f>
        <v>-846.9</v>
      </c>
      <c r="J10" s="14">
        <f>C10+D10+E10+F10</f>
        <v>208.85</v>
      </c>
      <c r="K10" s="14">
        <f>AVERAGE(J7:J10)</f>
        <v>-465.5</v>
      </c>
      <c r="L10" s="19"/>
      <c r="M10" s="19"/>
      <c r="N10" s="19"/>
      <c r="O10" s="19"/>
    </row>
    <row r="11" ht="20.05" customHeight="1">
      <c r="A11" s="30">
        <v>2019</v>
      </c>
      <c r="B11" s="13">
        <f>'Data'!G11</f>
        <v>1889</v>
      </c>
      <c r="C11" s="14">
        <f>'Data'!H11</f>
        <v>458.2</v>
      </c>
      <c r="D11" s="14">
        <f>'Data'!I11</f>
        <v>-571.6</v>
      </c>
      <c r="E11" s="14">
        <v>-227.75</v>
      </c>
      <c r="F11" s="14"/>
      <c r="G11" s="14"/>
      <c r="H11" s="14"/>
      <c r="I11" s="14">
        <f>'Data'!K11</f>
        <v>-387.2</v>
      </c>
      <c r="J11" s="14">
        <f>C11+D11+E11+F11</f>
        <v>-341.15</v>
      </c>
      <c r="K11" s="14">
        <f>AVERAGE(J8:J11)</f>
        <v>235.2</v>
      </c>
      <c r="L11" s="19"/>
      <c r="M11" s="19"/>
      <c r="N11" s="19"/>
      <c r="O11" s="19"/>
    </row>
    <row r="12" ht="20.05" customHeight="1">
      <c r="A12" s="28"/>
      <c r="B12" s="13">
        <f>'Data'!G12-'Data'!G11</f>
        <v>2243</v>
      </c>
      <c r="C12" s="14">
        <f>'Data'!H12-'Data'!H11</f>
        <v>749.2</v>
      </c>
      <c r="D12" s="14">
        <f>'Data'!I12-'Data'!I11</f>
        <v>-881.8</v>
      </c>
      <c r="E12" s="14">
        <v>-227.75</v>
      </c>
      <c r="F12" s="14"/>
      <c r="G12" s="14"/>
      <c r="H12" s="14"/>
      <c r="I12" s="14">
        <f>'Data'!K12-'Data'!K11</f>
        <v>-618.2</v>
      </c>
      <c r="J12" s="14">
        <f>C12+D12+E12+F12</f>
        <v>-360.35</v>
      </c>
      <c r="K12" s="14">
        <f>AVERAGE(J9:J12)</f>
        <v>-221.725</v>
      </c>
      <c r="L12" s="19"/>
      <c r="M12" s="19"/>
      <c r="N12" s="19"/>
      <c r="O12" s="19"/>
    </row>
    <row r="13" ht="20.05" customHeight="1">
      <c r="A13" s="28"/>
      <c r="B13" s="13">
        <f>'Data'!G13-'Data'!G12</f>
        <v>1885</v>
      </c>
      <c r="C13" s="14">
        <f>'Data'!H13-'Data'!H12</f>
        <v>289.3</v>
      </c>
      <c r="D13" s="14">
        <f>'Data'!I13-'Data'!I12</f>
        <v>452.3</v>
      </c>
      <c r="E13" s="14">
        <v>-227.75</v>
      </c>
      <c r="F13" s="14"/>
      <c r="G13" s="14"/>
      <c r="H13" s="14"/>
      <c r="I13" s="14">
        <f>'Data'!K13-'Data'!K12</f>
        <v>-726.4</v>
      </c>
      <c r="J13" s="14">
        <f>C13+D13+E13+F13</f>
        <v>513.85</v>
      </c>
      <c r="K13" s="14">
        <f>AVERAGE(J10:J13)</f>
        <v>5.3</v>
      </c>
      <c r="L13" s="19"/>
      <c r="M13" s="19"/>
      <c r="N13" s="19"/>
      <c r="O13" s="19"/>
    </row>
    <row r="14" ht="20.05" customHeight="1">
      <c r="A14" s="28"/>
      <c r="B14" s="13">
        <f>'Data'!G14-'Data'!G13</f>
        <v>2222</v>
      </c>
      <c r="C14" s="14">
        <f>'Data'!H14-'Data'!H13</f>
        <v>520.3</v>
      </c>
      <c r="D14" s="14">
        <f>'Data'!I14-'Data'!I13</f>
        <v>-968.1</v>
      </c>
      <c r="E14" s="14">
        <v>-227.75</v>
      </c>
      <c r="F14" s="14"/>
      <c r="G14" s="14"/>
      <c r="H14" s="14"/>
      <c r="I14" s="14">
        <f>'Data'!K14-'Data'!K13</f>
        <v>451.4</v>
      </c>
      <c r="J14" s="14">
        <f>C14+D14+E14+F14</f>
        <v>-675.55</v>
      </c>
      <c r="K14" s="14">
        <f>AVERAGE(J11:J14)</f>
        <v>-215.8</v>
      </c>
      <c r="L14" s="19"/>
      <c r="M14" s="19"/>
      <c r="N14" s="19"/>
      <c r="O14" s="19"/>
    </row>
    <row r="15" ht="20.05" customHeight="1">
      <c r="A15" s="30">
        <v>2020</v>
      </c>
      <c r="B15" s="13">
        <v>1547</v>
      </c>
      <c r="C15" s="14">
        <v>137</v>
      </c>
      <c r="D15" s="14">
        <v>-925</v>
      </c>
      <c r="E15" s="14">
        <v>-93</v>
      </c>
      <c r="F15" s="14">
        <v>-3.25</v>
      </c>
      <c r="G15" s="14">
        <v>3587</v>
      </c>
      <c r="H15" s="14">
        <v>-71</v>
      </c>
      <c r="I15" s="14">
        <v>3421</v>
      </c>
      <c r="J15" s="14">
        <f>C15+D15+E15+F15</f>
        <v>-884.25</v>
      </c>
      <c r="K15" s="14">
        <f>AVERAGE(J12:J15)</f>
        <v>-351.575</v>
      </c>
      <c r="L15" s="19"/>
      <c r="M15" s="14">
        <f>-(G15+H15)-'Capital '!M37</f>
        <v>-21295</v>
      </c>
      <c r="N15" s="19"/>
      <c r="O15" s="33">
        <f>21</f>
        <v>21</v>
      </c>
    </row>
    <row r="16" ht="20.05" customHeight="1">
      <c r="A16" s="28"/>
      <c r="B16" s="13">
        <v>1140</v>
      </c>
      <c r="C16" s="14">
        <v>181</v>
      </c>
      <c r="D16" s="14">
        <v>-670</v>
      </c>
      <c r="E16" s="14">
        <v>-402</v>
      </c>
      <c r="F16" s="14">
        <v>-3.25</v>
      </c>
      <c r="G16" s="14">
        <v>125</v>
      </c>
      <c r="H16" s="14">
        <v>1236</v>
      </c>
      <c r="I16" s="14">
        <v>957</v>
      </c>
      <c r="J16" s="14">
        <f>C16+D16+E16+F16</f>
        <v>-894.25</v>
      </c>
      <c r="K16" s="14">
        <f>AVERAGE(J13:J16)</f>
        <v>-485.05</v>
      </c>
      <c r="L16" s="19"/>
      <c r="M16" s="14">
        <f>-(G16+H16)+M15</f>
        <v>-22656</v>
      </c>
      <c r="N16" s="19"/>
      <c r="O16" s="33">
        <f>1+O15</f>
        <v>22</v>
      </c>
    </row>
    <row r="17" ht="20.05" customHeight="1">
      <c r="A17" s="28"/>
      <c r="B17" s="13">
        <v>1627</v>
      </c>
      <c r="C17" s="14">
        <v>308</v>
      </c>
      <c r="D17" s="14">
        <v>545</v>
      </c>
      <c r="E17" s="14">
        <v>-232</v>
      </c>
      <c r="F17" s="14">
        <v>-3.25</v>
      </c>
      <c r="G17" s="14">
        <v>-219</v>
      </c>
      <c r="H17" s="14">
        <v>-34</v>
      </c>
      <c r="I17" s="14">
        <v>-489</v>
      </c>
      <c r="J17" s="14">
        <f>C17+D17+E17+F17</f>
        <v>617.75</v>
      </c>
      <c r="K17" s="14">
        <f>AVERAGE(J14:J17)</f>
        <v>-459.075</v>
      </c>
      <c r="L17" s="19"/>
      <c r="M17" s="14">
        <f>-(G17+H17)+M16</f>
        <v>-22403</v>
      </c>
      <c r="N17" s="19"/>
      <c r="O17" s="33">
        <f>1+O16</f>
        <v>23</v>
      </c>
    </row>
    <row r="18" ht="20.05" customHeight="1">
      <c r="A18" s="28"/>
      <c r="B18" s="13">
        <v>2372</v>
      </c>
      <c r="C18" s="14">
        <v>838</v>
      </c>
      <c r="D18" s="14">
        <v>44</v>
      </c>
      <c r="E18" s="14">
        <v>-410</v>
      </c>
      <c r="F18" s="14">
        <v>-3.25</v>
      </c>
      <c r="G18" s="14">
        <v>-96</v>
      </c>
      <c r="H18" s="14">
        <v>-71</v>
      </c>
      <c r="I18" s="14">
        <v>-582</v>
      </c>
      <c r="J18" s="14">
        <f>C18+D18+E18+F18</f>
        <v>468.75</v>
      </c>
      <c r="K18" s="14">
        <f>AVERAGE(J15:J18)</f>
        <v>-173</v>
      </c>
      <c r="L18" s="19"/>
      <c r="M18" s="14">
        <f>-(G18+H18)+M17</f>
        <v>-22236</v>
      </c>
      <c r="N18" s="19"/>
      <c r="O18" s="33">
        <f>1+O17</f>
        <v>24</v>
      </c>
    </row>
    <row r="19" ht="20.05" customHeight="1">
      <c r="A19" s="30">
        <v>2021</v>
      </c>
      <c r="B19" s="13">
        <v>2709</v>
      </c>
      <c r="C19" s="14">
        <v>1484</v>
      </c>
      <c r="D19" s="14">
        <v>166</v>
      </c>
      <c r="E19" s="14">
        <v>-211</v>
      </c>
      <c r="F19" s="14">
        <v>-3.275</v>
      </c>
      <c r="G19" s="14">
        <v>17.5</v>
      </c>
      <c r="H19" s="14">
        <v>-2</v>
      </c>
      <c r="I19" s="14">
        <v>-198</v>
      </c>
      <c r="J19" s="14">
        <f>C19+D19+E19+F19</f>
        <v>1435.725</v>
      </c>
      <c r="K19" s="14">
        <f>AVERAGE(J16:J19)</f>
        <v>406.99375</v>
      </c>
      <c r="L19" s="19"/>
      <c r="M19" s="14">
        <f>-(G19+H19)+M18</f>
        <v>-22251.5</v>
      </c>
      <c r="N19" s="19"/>
      <c r="O19" s="33">
        <f>1+O18</f>
        <v>25</v>
      </c>
    </row>
    <row r="20" ht="20.05" customHeight="1">
      <c r="A20" s="28"/>
      <c r="B20" s="13">
        <v>2500</v>
      </c>
      <c r="C20" s="14">
        <v>532</v>
      </c>
      <c r="D20" s="14">
        <v>208</v>
      </c>
      <c r="E20" s="14">
        <v>-380</v>
      </c>
      <c r="F20" s="14">
        <v>-3.275</v>
      </c>
      <c r="G20" s="14">
        <v>-5153.5</v>
      </c>
      <c r="H20" s="14">
        <v>-24</v>
      </c>
      <c r="I20" s="14">
        <v>-5561</v>
      </c>
      <c r="J20" s="14">
        <f>C20+D20+E20+F20</f>
        <v>356.725</v>
      </c>
      <c r="K20" s="14">
        <f>AVERAGE(J17:J20)</f>
        <v>719.7375</v>
      </c>
      <c r="L20" s="19"/>
      <c r="M20" s="14">
        <f>-(G20+H20)+M19</f>
        <v>-17074</v>
      </c>
      <c r="N20" s="19"/>
      <c r="O20" s="33">
        <f>1+O19</f>
        <v>26</v>
      </c>
    </row>
    <row r="21" ht="20.05" customHeight="1">
      <c r="A21" s="28"/>
      <c r="B21" s="13">
        <v>2530</v>
      </c>
      <c r="C21" s="14">
        <v>1124.7</v>
      </c>
      <c r="D21" s="14">
        <v>-250.4</v>
      </c>
      <c r="E21" s="14">
        <v>-205.7</v>
      </c>
      <c r="F21" s="14">
        <v>-3.275</v>
      </c>
      <c r="G21" s="14">
        <v>-378.6</v>
      </c>
      <c r="H21" s="14">
        <v>-59.6</v>
      </c>
      <c r="I21" s="14">
        <v>-438.2</v>
      </c>
      <c r="J21" s="14">
        <f>C21+D21+E21+F21</f>
        <v>665.325</v>
      </c>
      <c r="K21" s="14">
        <f>AVERAGE(J18:J21)</f>
        <v>731.63125</v>
      </c>
      <c r="L21" s="19"/>
      <c r="M21" s="14">
        <f>-(G21+H21)+M20</f>
        <v>-16635.8</v>
      </c>
      <c r="N21" s="19"/>
      <c r="O21" s="33">
        <f>1+O20</f>
        <v>27</v>
      </c>
    </row>
    <row r="22" ht="20.05" customHeight="1">
      <c r="A22" s="28"/>
      <c r="B22" s="13">
        <v>3022.5</v>
      </c>
      <c r="C22" s="14">
        <v>165</v>
      </c>
      <c r="D22" s="14">
        <v>245.2</v>
      </c>
      <c r="E22" s="14">
        <v>-195.3</v>
      </c>
      <c r="F22" s="14">
        <v>-3.275</v>
      </c>
      <c r="G22" s="14">
        <v>154.1</v>
      </c>
      <c r="H22" s="14">
        <v>-240.4</v>
      </c>
      <c r="I22" s="14">
        <v>-288.4</v>
      </c>
      <c r="J22" s="14">
        <f>C22+D22+E22+F22</f>
        <v>211.625</v>
      </c>
      <c r="K22" s="14">
        <f>AVERAGE(J19:J22)</f>
        <v>667.35</v>
      </c>
      <c r="L22" s="19"/>
      <c r="M22" s="14">
        <f>-(G22+H22)+M21</f>
        <v>-16549.5</v>
      </c>
      <c r="N22" s="19"/>
      <c r="O22" s="33">
        <f>1+O21</f>
        <v>28</v>
      </c>
    </row>
    <row r="23" ht="20.05" customHeight="1">
      <c r="A23" s="30">
        <v>2022</v>
      </c>
      <c r="B23" s="13">
        <v>3192.5</v>
      </c>
      <c r="C23" s="14">
        <v>1539.8</v>
      </c>
      <c r="D23" s="14">
        <v>-245.4</v>
      </c>
      <c r="E23" s="14">
        <v>-194</v>
      </c>
      <c r="F23" s="14">
        <v>-1.8</v>
      </c>
      <c r="G23" s="14">
        <f>I23-H23-F23-E23</f>
        <v>59</v>
      </c>
      <c r="H23" s="14">
        <v>1</v>
      </c>
      <c r="I23" s="14">
        <v>-135.8</v>
      </c>
      <c r="J23" s="14">
        <f>C23+D23+E23+F23</f>
        <v>1098.6</v>
      </c>
      <c r="K23" s="14">
        <f>AVERAGE(J20:J23)</f>
        <v>583.06875</v>
      </c>
      <c r="L23" s="14">
        <v>839.949725227430</v>
      </c>
      <c r="M23" s="14">
        <f>-(G23+H23)+M22</f>
        <v>-16609.5</v>
      </c>
      <c r="N23" s="14">
        <v>-13526.2941937967</v>
      </c>
      <c r="O23" s="33">
        <f>1+O22</f>
        <v>29</v>
      </c>
    </row>
    <row r="24" ht="20.05" customHeight="1">
      <c r="A24" s="28"/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33">
        <f>SUM('Model'!F9:F11)</f>
        <v>583.64321541</v>
      </c>
      <c r="M24" s="19"/>
      <c r="N24" s="33">
        <f>'Model'!F34</f>
        <v>-14372.45872559</v>
      </c>
      <c r="O24" s="19"/>
    </row>
  </sheetData>
  <mergeCells count="1">
    <mergeCell ref="A1:O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0.4688" style="34" customWidth="1"/>
    <col min="11" max="16384" width="16.3516" style="34" customWidth="1"/>
  </cols>
  <sheetData>
    <row r="1" ht="27.65" customHeight="1">
      <c r="A1" t="s" s="2">
        <v>52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1</v>
      </c>
      <c r="B2" t="s" s="5">
        <v>53</v>
      </c>
      <c r="C2" t="s" s="5">
        <v>54</v>
      </c>
      <c r="D2" t="s" s="5">
        <v>24</v>
      </c>
      <c r="E2" t="s" s="5">
        <v>25</v>
      </c>
      <c r="F2" t="s" s="5">
        <v>12</v>
      </c>
      <c r="G2" t="s" s="5">
        <v>15</v>
      </c>
      <c r="H2" t="s" s="5">
        <v>27</v>
      </c>
      <c r="I2" t="s" s="5">
        <v>28</v>
      </c>
      <c r="J2" t="s" s="5">
        <v>35</v>
      </c>
    </row>
    <row r="3" ht="20.25" customHeight="1">
      <c r="A3" s="23">
        <v>2017</v>
      </c>
      <c r="B3" s="24">
        <v>4567.7</v>
      </c>
      <c r="C3" s="26">
        <f>'Data'!B3</f>
        <v>39628</v>
      </c>
      <c r="D3" s="26">
        <f>C3-B3</f>
        <v>35060.3</v>
      </c>
      <c r="E3" s="8"/>
      <c r="F3" s="26">
        <f>'Data'!C3</f>
        <v>14629</v>
      </c>
      <c r="G3" s="26">
        <f>C3-F3</f>
        <v>24999</v>
      </c>
      <c r="H3" s="26">
        <f>B3+D3-F3-G3</f>
        <v>0</v>
      </c>
      <c r="I3" s="26">
        <f>B3-F3</f>
        <v>-10061.3</v>
      </c>
      <c r="J3" s="8"/>
    </row>
    <row r="4" ht="20.05" customHeight="1">
      <c r="A4" s="28"/>
      <c r="B4" s="13">
        <f>B3+'Cashflow '!C4+'Cashflow '!D4+'Cashflow '!I4</f>
        <v>5396.9</v>
      </c>
      <c r="C4" s="14">
        <f>'Data'!B4</f>
        <v>42119</v>
      </c>
      <c r="D4" s="14">
        <f>C4-B4</f>
        <v>36722.1</v>
      </c>
      <c r="E4" s="19"/>
      <c r="F4" s="14">
        <f>'Data'!C4</f>
        <v>15801</v>
      </c>
      <c r="G4" s="14">
        <f>C4-F4</f>
        <v>26318</v>
      </c>
      <c r="H4" s="14">
        <f>B4+D4-F4-G4</f>
        <v>0</v>
      </c>
      <c r="I4" s="14">
        <f>B4-F4</f>
        <v>-10404.1</v>
      </c>
      <c r="J4" s="19"/>
    </row>
    <row r="5" ht="20.05" customHeight="1">
      <c r="A5" s="28"/>
      <c r="B5" s="13">
        <f>B4+'Cashflow '!C5+'Cashflow '!D5+'Cashflow '!I5</f>
        <v>4539.2</v>
      </c>
      <c r="C5" s="14">
        <f>'Data'!B5</f>
        <v>43472</v>
      </c>
      <c r="D5" s="14">
        <f>C5-B5</f>
        <v>38932.8</v>
      </c>
      <c r="E5" s="19"/>
      <c r="F5" s="14">
        <f>'Data'!C5</f>
        <v>16820</v>
      </c>
      <c r="G5" s="14">
        <f>C5-F5</f>
        <v>26652</v>
      </c>
      <c r="H5" s="14">
        <f>B5+D5-F5-G5</f>
        <v>0</v>
      </c>
      <c r="I5" s="14">
        <f>B5-F5</f>
        <v>-12280.8</v>
      </c>
      <c r="J5" s="19"/>
    </row>
    <row r="6" ht="20.05" customHeight="1">
      <c r="A6" s="28"/>
      <c r="B6" s="13">
        <f>B5+'Cashflow '!C6+'Cashflow '!D6+'Cashflow '!I6</f>
        <v>5801.1</v>
      </c>
      <c r="C6" s="14">
        <f>'Data'!B6</f>
        <v>45951</v>
      </c>
      <c r="D6" s="14">
        <f>C6-B6</f>
        <v>40149.9</v>
      </c>
      <c r="E6" s="19"/>
      <c r="F6" s="14">
        <f>'Data'!C6</f>
        <v>16754</v>
      </c>
      <c r="G6" s="14">
        <f>C6-F6</f>
        <v>29197</v>
      </c>
      <c r="H6" s="14">
        <f>B6+D6-F6-G6</f>
        <v>0</v>
      </c>
      <c r="I6" s="14">
        <f>B6-F6</f>
        <v>-10952.9</v>
      </c>
      <c r="J6" s="19"/>
    </row>
    <row r="7" ht="20.05" customHeight="1">
      <c r="A7" s="30">
        <v>2018</v>
      </c>
      <c r="B7" s="13">
        <f>B6+'Cashflow '!C7+'Cashflow '!D7+'Cashflow '!I7</f>
        <v>4855.9</v>
      </c>
      <c r="C7" s="14">
        <f>'Data'!B7</f>
        <v>48585</v>
      </c>
      <c r="D7" s="14">
        <f>C7-B7</f>
        <v>43729.1</v>
      </c>
      <c r="E7" s="19"/>
      <c r="F7" s="14">
        <f>'Data'!C7</f>
        <v>18895</v>
      </c>
      <c r="G7" s="14">
        <f>C7-F7</f>
        <v>29690</v>
      </c>
      <c r="H7" s="14">
        <f>B7+D7-F7-G7</f>
        <v>0</v>
      </c>
      <c r="I7" s="14">
        <f>B7-F7</f>
        <v>-14039.1</v>
      </c>
      <c r="J7" s="19"/>
    </row>
    <row r="8" ht="20.05" customHeight="1">
      <c r="A8" s="28"/>
      <c r="B8" s="13">
        <f>B7+'Cashflow '!C8+'Cashflow '!D8+'Cashflow '!I8</f>
        <v>8720.1</v>
      </c>
      <c r="C8" s="14">
        <f>'Data'!B8</f>
        <v>51375</v>
      </c>
      <c r="D8" s="14">
        <f>C8-B8</f>
        <v>42654.9</v>
      </c>
      <c r="E8" s="19"/>
      <c r="F8" s="14">
        <f>'Data'!C8</f>
        <v>21653</v>
      </c>
      <c r="G8" s="14">
        <f>C8-F8</f>
        <v>29722</v>
      </c>
      <c r="H8" s="14">
        <f>B8+D8-F8-G8</f>
        <v>0</v>
      </c>
      <c r="I8" s="14">
        <f>B8-F8</f>
        <v>-12932.9</v>
      </c>
      <c r="J8" s="19"/>
    </row>
    <row r="9" ht="20.05" customHeight="1">
      <c r="A9" s="28"/>
      <c r="B9" s="13">
        <f>B8+'Cashflow '!C9+'Cashflow '!D9+'Cashflow '!I9</f>
        <v>8560</v>
      </c>
      <c r="C9" s="14">
        <f>'Data'!B9</f>
        <v>52422</v>
      </c>
      <c r="D9" s="14">
        <f>C9-B9</f>
        <v>43862</v>
      </c>
      <c r="E9" s="19"/>
      <c r="F9" s="14">
        <f>'Data'!C9</f>
        <v>22427</v>
      </c>
      <c r="G9" s="14">
        <f>C9-F9</f>
        <v>29995</v>
      </c>
      <c r="H9" s="14">
        <f>B9+D9-F9-G9</f>
        <v>0</v>
      </c>
      <c r="I9" s="14">
        <f>B9-F9</f>
        <v>-13867</v>
      </c>
      <c r="J9" s="19"/>
    </row>
    <row r="10" ht="20.05" customHeight="1">
      <c r="A10" s="28"/>
      <c r="B10" s="13">
        <f>B9+'Cashflow '!C10+'Cashflow '!D10+'Cashflow '!I10</f>
        <v>8128.7</v>
      </c>
      <c r="C10" s="14">
        <f>'Data'!B10</f>
        <v>52102</v>
      </c>
      <c r="D10" s="14">
        <f>C10-B10</f>
        <v>43973.3</v>
      </c>
      <c r="E10" s="19"/>
      <c r="F10" s="14">
        <f>'Data'!C10</f>
        <v>21815</v>
      </c>
      <c r="G10" s="14">
        <f>C10-F10</f>
        <v>30287</v>
      </c>
      <c r="H10" s="14">
        <f>B10+D10-F10-G10</f>
        <v>0</v>
      </c>
      <c r="I10" s="14">
        <f>B10-F10</f>
        <v>-13686.3</v>
      </c>
      <c r="J10" s="19"/>
    </row>
    <row r="11" ht="20.05" customHeight="1">
      <c r="A11" s="30">
        <v>2019</v>
      </c>
      <c r="B11" s="13">
        <f>B10+'Cashflow '!C11+'Cashflow '!D11+'Cashflow '!I11</f>
        <v>7628.1</v>
      </c>
      <c r="C11" s="14">
        <f>'Data'!B11</f>
        <v>52503</v>
      </c>
      <c r="D11" s="14">
        <f>C11-B11</f>
        <v>44874.9</v>
      </c>
      <c r="E11" s="19"/>
      <c r="F11" s="14">
        <f>'Data'!C11</f>
        <v>21396</v>
      </c>
      <c r="G11" s="14">
        <f>C11-F11</f>
        <v>31107</v>
      </c>
      <c r="H11" s="14">
        <f>B11+D11-F11-G11</f>
        <v>0</v>
      </c>
      <c r="I11" s="14">
        <f>B11-F11</f>
        <v>-13767.9</v>
      </c>
      <c r="J11" s="19"/>
    </row>
    <row r="12" ht="20.05" customHeight="1">
      <c r="A12" s="28"/>
      <c r="B12" s="13">
        <f>B11+'Cashflow '!C12+'Cashflow '!D12+'Cashflow '!I12</f>
        <v>6877.3</v>
      </c>
      <c r="C12" s="14">
        <f>'Data'!B12</f>
        <v>53306</v>
      </c>
      <c r="D12" s="14">
        <f>C12-B12</f>
        <v>46428.7</v>
      </c>
      <c r="E12" s="19"/>
      <c r="F12" s="14">
        <f>'Data'!C12</f>
        <v>20695</v>
      </c>
      <c r="G12" s="14">
        <f>C12-F12</f>
        <v>32611</v>
      </c>
      <c r="H12" s="14">
        <f>B12+D12-F12-G12</f>
        <v>0</v>
      </c>
      <c r="I12" s="14">
        <f>B12-F12</f>
        <v>-13817.7</v>
      </c>
      <c r="J12" s="19"/>
    </row>
    <row r="13" ht="20.05" customHeight="1">
      <c r="A13" s="28"/>
      <c r="B13" s="13">
        <f>B12+'Cashflow '!C13+'Cashflow '!D13+'Cashflow '!I13</f>
        <v>6892.5</v>
      </c>
      <c r="C13" s="14">
        <f>'Data'!B13</f>
        <v>53267</v>
      </c>
      <c r="D13" s="14">
        <f>C13-B13</f>
        <v>46374.5</v>
      </c>
      <c r="E13" s="19"/>
      <c r="F13" s="14">
        <f>'Data'!C13</f>
        <v>20400</v>
      </c>
      <c r="G13" s="14">
        <f>C13-F13</f>
        <v>32867</v>
      </c>
      <c r="H13" s="14">
        <f>B13+D13-F13-G13</f>
        <v>0</v>
      </c>
      <c r="I13" s="14">
        <f>B13-F13</f>
        <v>-13507.5</v>
      </c>
      <c r="J13" s="19"/>
    </row>
    <row r="14" ht="20.05" customHeight="1">
      <c r="A14" s="28"/>
      <c r="B14" s="13">
        <f>B13+'Cashflow '!C14+'Cashflow '!D14+'Cashflow '!I14</f>
        <v>6896.1</v>
      </c>
      <c r="C14" s="14">
        <f>'Data'!B14</f>
        <v>54445</v>
      </c>
      <c r="D14" s="14">
        <f>C14-B14</f>
        <v>47548.9</v>
      </c>
      <c r="E14" s="19"/>
      <c r="F14" s="14">
        <f>'Data'!C14</f>
        <v>20897</v>
      </c>
      <c r="G14" s="14">
        <f>C14-F14</f>
        <v>33548</v>
      </c>
      <c r="H14" s="14">
        <f>B14+D14-F14-G14</f>
        <v>0</v>
      </c>
      <c r="I14" s="14">
        <f>B14-F14</f>
        <v>-14000.9</v>
      </c>
      <c r="J14" s="19"/>
    </row>
    <row r="15" ht="20.05" customHeight="1">
      <c r="A15" s="30">
        <v>2020</v>
      </c>
      <c r="B15" s="13">
        <v>10420</v>
      </c>
      <c r="C15" s="14">
        <v>60105</v>
      </c>
      <c r="D15" s="14">
        <f>C15-B15</f>
        <v>49685</v>
      </c>
      <c r="E15" s="19"/>
      <c r="F15" s="14">
        <v>27922</v>
      </c>
      <c r="G15" s="14">
        <f>C15-F15</f>
        <v>32183</v>
      </c>
      <c r="H15" s="14">
        <f>B15+D15-F15-G15</f>
        <v>0</v>
      </c>
      <c r="I15" s="14">
        <f>B15-F15</f>
        <v>-17502</v>
      </c>
      <c r="J15" s="19"/>
    </row>
    <row r="16" ht="20.05" customHeight="1">
      <c r="A16" s="28"/>
      <c r="B16" s="13">
        <f>B15+'Cashflow '!C16+'Cashflow '!D16+'Cashflow '!I16</f>
        <v>10888</v>
      </c>
      <c r="C16" s="14">
        <v>60412</v>
      </c>
      <c r="D16" s="14">
        <f>C16-B16</f>
        <v>49524</v>
      </c>
      <c r="E16" s="19"/>
      <c r="F16" s="14">
        <v>26452</v>
      </c>
      <c r="G16" s="14">
        <f>C16-F16</f>
        <v>33960</v>
      </c>
      <c r="H16" s="14">
        <f>B16+D16-F16-G16</f>
        <v>0</v>
      </c>
      <c r="I16" s="14">
        <f>B16-F16</f>
        <v>-15564</v>
      </c>
      <c r="J16" s="19"/>
    </row>
    <row r="17" ht="20.05" customHeight="1">
      <c r="A17" s="28"/>
      <c r="B17" s="13">
        <f>B16+'Cashflow '!C17+'Cashflow '!D17+'Cashflow '!I17</f>
        <v>11252</v>
      </c>
      <c r="C17" s="14">
        <v>60891</v>
      </c>
      <c r="D17" s="14">
        <f>C17-B17</f>
        <v>49639</v>
      </c>
      <c r="E17" s="19"/>
      <c r="F17" s="14">
        <v>26612</v>
      </c>
      <c r="G17" s="14">
        <f>C17-F17</f>
        <v>34279</v>
      </c>
      <c r="H17" s="14">
        <f>B17+D17-F17-G17</f>
        <v>0</v>
      </c>
      <c r="I17" s="14">
        <f>B17-F17</f>
        <v>-15360</v>
      </c>
      <c r="J17" s="19"/>
    </row>
    <row r="18" ht="20.05" customHeight="1">
      <c r="A18" s="28"/>
      <c r="B18" s="13">
        <f>B17+'Cashflow '!C18+'Cashflow '!D18+'Cashflow '!I18</f>
        <v>11552</v>
      </c>
      <c r="C18" s="14">
        <v>60863</v>
      </c>
      <c r="D18" s="14">
        <f>C18-B18</f>
        <v>49311</v>
      </c>
      <c r="E18" s="19"/>
      <c r="F18" s="14">
        <v>26392</v>
      </c>
      <c r="G18" s="14">
        <f>C18-F18</f>
        <v>34471</v>
      </c>
      <c r="H18" s="14">
        <f>B18+D18-F18-G18</f>
        <v>0</v>
      </c>
      <c r="I18" s="14">
        <f>B18-F18</f>
        <v>-14840</v>
      </c>
      <c r="J18" s="19"/>
    </row>
    <row r="19" ht="20.05" customHeight="1">
      <c r="A19" s="30">
        <v>2021</v>
      </c>
      <c r="B19" s="13">
        <v>12485</v>
      </c>
      <c r="C19" s="14">
        <v>62962</v>
      </c>
      <c r="D19" s="14">
        <f>C19-B19</f>
        <v>50477</v>
      </c>
      <c r="E19" s="19"/>
      <c r="F19" s="14">
        <v>28054</v>
      </c>
      <c r="G19" s="14">
        <f>C19-F19</f>
        <v>34908</v>
      </c>
      <c r="H19" s="14">
        <f>B19+D19-F19-G19</f>
        <v>0</v>
      </c>
      <c r="I19" s="14">
        <f>B19-F19</f>
        <v>-15569</v>
      </c>
      <c r="J19" s="19"/>
    </row>
    <row r="20" ht="20.05" customHeight="1">
      <c r="A20" s="28"/>
      <c r="B20" s="13">
        <v>7636</v>
      </c>
      <c r="C20" s="14">
        <v>59062</v>
      </c>
      <c r="D20" s="14">
        <f>C20-B20</f>
        <v>51426</v>
      </c>
      <c r="E20" s="19"/>
      <c r="F20" s="14">
        <v>24015</v>
      </c>
      <c r="G20" s="14">
        <f>C20-F20</f>
        <v>35047</v>
      </c>
      <c r="H20" s="14">
        <f>B20+D20-F20-G20</f>
        <v>0</v>
      </c>
      <c r="I20" s="14">
        <f>B20-F20</f>
        <v>-16379</v>
      </c>
      <c r="J20" s="19"/>
    </row>
    <row r="21" ht="20.05" customHeight="1">
      <c r="A21" s="28"/>
      <c r="B21" s="13">
        <v>7662</v>
      </c>
      <c r="C21" s="14">
        <v>60102</v>
      </c>
      <c r="D21" s="14">
        <f>C21-B21</f>
        <v>52440</v>
      </c>
      <c r="E21" s="19"/>
      <c r="F21" s="14">
        <v>24693</v>
      </c>
      <c r="G21" s="14">
        <f>C21-F21</f>
        <v>35409</v>
      </c>
      <c r="H21" s="14">
        <f>B21+D21-F21-G21</f>
        <v>0</v>
      </c>
      <c r="I21" s="14">
        <f>B21-F21</f>
        <v>-17031</v>
      </c>
      <c r="J21" s="19"/>
    </row>
    <row r="22" ht="20.05" customHeight="1">
      <c r="A22" s="28"/>
      <c r="B22" s="13">
        <v>7767</v>
      </c>
      <c r="C22" s="14">
        <v>61470</v>
      </c>
      <c r="D22" s="14">
        <f>C22-B22</f>
        <v>53703</v>
      </c>
      <c r="E22" s="14">
        <v>1298</v>
      </c>
      <c r="F22" s="14">
        <v>25576</v>
      </c>
      <c r="G22" s="14">
        <f>C22-F22</f>
        <v>35894</v>
      </c>
      <c r="H22" s="14">
        <f>B22+D22-F22-G22</f>
        <v>0</v>
      </c>
      <c r="I22" s="14">
        <f>B22-F22</f>
        <v>-17809</v>
      </c>
      <c r="J22" s="19"/>
    </row>
    <row r="23" ht="20.05" customHeight="1">
      <c r="A23" s="30">
        <v>2022</v>
      </c>
      <c r="B23" s="13">
        <v>8927</v>
      </c>
      <c r="C23" s="14">
        <v>63133</v>
      </c>
      <c r="D23" s="14">
        <f>C23-B23</f>
        <v>54206</v>
      </c>
      <c r="E23" s="14">
        <f>1316+2183+4920+4</f>
        <v>8423</v>
      </c>
      <c r="F23" s="14">
        <v>26903</v>
      </c>
      <c r="G23" s="14">
        <v>36230</v>
      </c>
      <c r="H23" s="14">
        <f>B23+D23-F23-G23</f>
        <v>0</v>
      </c>
      <c r="I23" s="14">
        <f>B23-F23</f>
        <v>-17976</v>
      </c>
      <c r="J23" s="33">
        <v>-14321.5353550373</v>
      </c>
    </row>
    <row r="24" ht="20.05" customHeight="1">
      <c r="A24" s="28"/>
      <c r="B24" s="21"/>
      <c r="C24" s="19"/>
      <c r="D24" s="19"/>
      <c r="E24" s="19"/>
      <c r="F24" s="19"/>
      <c r="G24" s="19"/>
      <c r="H24" s="19"/>
      <c r="I24" s="19"/>
      <c r="J24" s="33">
        <f>'Model'!F32</f>
        <v>-15731.75872559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4" width="12.4688" style="35" customWidth="1"/>
    <col min="5" max="16384" width="16.3516" style="35" customWidth="1"/>
  </cols>
  <sheetData>
    <row r="1" ht="27.65" customHeight="1">
      <c r="A1" t="s" s="2">
        <v>55</v>
      </c>
      <c r="B1" s="2"/>
      <c r="C1" s="2"/>
      <c r="D1" s="2"/>
    </row>
    <row r="2" ht="20.25" customHeight="1">
      <c r="A2" s="4"/>
      <c r="B2" t="s" s="3">
        <v>56</v>
      </c>
      <c r="C2" t="s" s="3">
        <v>38</v>
      </c>
      <c r="D2" t="s" s="3">
        <v>57</v>
      </c>
    </row>
    <row r="3" ht="20.25" customHeight="1">
      <c r="A3" s="23">
        <v>2018</v>
      </c>
      <c r="B3" s="24">
        <v>1760</v>
      </c>
      <c r="C3" s="8"/>
      <c r="D3" s="8"/>
    </row>
    <row r="4" ht="20.05" customHeight="1">
      <c r="A4" s="28"/>
      <c r="B4" s="13">
        <v>1565</v>
      </c>
      <c r="C4" s="19"/>
      <c r="D4" s="19"/>
    </row>
    <row r="5" ht="20.05" customHeight="1">
      <c r="A5" s="28"/>
      <c r="B5" s="13">
        <v>1160</v>
      </c>
      <c r="C5" s="19"/>
      <c r="D5" s="19"/>
    </row>
    <row r="6" ht="20.05" customHeight="1">
      <c r="A6" s="28"/>
      <c r="B6" s="13">
        <v>1255</v>
      </c>
      <c r="C6" s="19"/>
      <c r="D6" s="19"/>
    </row>
    <row r="7" ht="20.05" customHeight="1">
      <c r="A7" s="30">
        <v>2019</v>
      </c>
      <c r="B7" s="13">
        <v>1470</v>
      </c>
      <c r="C7" s="19"/>
      <c r="D7" s="19"/>
    </row>
    <row r="8" ht="20.05" customHeight="1">
      <c r="A8" s="28"/>
      <c r="B8" s="13">
        <v>1535</v>
      </c>
      <c r="C8" s="19"/>
      <c r="D8" s="19"/>
    </row>
    <row r="9" ht="20.05" customHeight="1">
      <c r="A9" s="28"/>
      <c r="B9" s="13">
        <v>1320</v>
      </c>
      <c r="C9" s="19"/>
      <c r="D9" s="19"/>
    </row>
    <row r="10" ht="20.05" customHeight="1">
      <c r="A10" s="28"/>
      <c r="B10" s="13">
        <v>1275</v>
      </c>
      <c r="C10" s="19"/>
      <c r="D10" s="19"/>
    </row>
    <row r="11" ht="20.05" customHeight="1">
      <c r="A11" s="30">
        <v>2020</v>
      </c>
      <c r="B11" s="13">
        <v>650</v>
      </c>
      <c r="C11" s="19"/>
      <c r="D11" s="19"/>
    </row>
    <row r="12" ht="20.05" customHeight="1">
      <c r="A12" s="28"/>
      <c r="B12" s="13">
        <v>750</v>
      </c>
      <c r="C12" s="19"/>
      <c r="D12" s="19"/>
    </row>
    <row r="13" ht="20.05" customHeight="1">
      <c r="A13" s="28"/>
      <c r="B13" s="13">
        <v>745</v>
      </c>
      <c r="C13" s="19"/>
      <c r="D13" s="19"/>
    </row>
    <row r="14" ht="20.05" customHeight="1">
      <c r="A14" s="28"/>
      <c r="B14" s="13">
        <v>1225</v>
      </c>
      <c r="C14" s="19"/>
      <c r="D14" s="19"/>
    </row>
    <row r="15" ht="20.05" customHeight="1">
      <c r="A15" s="30">
        <v>2021</v>
      </c>
      <c r="B15" s="13">
        <v>1120</v>
      </c>
      <c r="C15" s="19"/>
      <c r="D15" s="19"/>
    </row>
    <row r="16" ht="20.05" customHeight="1">
      <c r="A16" s="28"/>
      <c r="B16" s="13">
        <v>965</v>
      </c>
      <c r="C16" s="19"/>
      <c r="D16" s="19"/>
    </row>
    <row r="17" ht="20.05" customHeight="1">
      <c r="A17" s="28"/>
      <c r="B17" s="13">
        <v>1005</v>
      </c>
      <c r="C17" s="19"/>
      <c r="D17" s="19"/>
    </row>
    <row r="18" ht="20.05" customHeight="1">
      <c r="A18" s="28"/>
      <c r="B18" s="13">
        <v>1010</v>
      </c>
      <c r="C18" s="19"/>
      <c r="D18" s="19"/>
    </row>
    <row r="19" ht="20.05" customHeight="1">
      <c r="A19" s="30">
        <v>2022</v>
      </c>
      <c r="B19" s="13">
        <v>1020</v>
      </c>
      <c r="C19" s="33">
        <v>1419</v>
      </c>
      <c r="D19" s="19"/>
    </row>
    <row r="20" ht="20.05" customHeight="1">
      <c r="A20" s="28"/>
      <c r="B20" s="36">
        <v>965</v>
      </c>
      <c r="C20" s="14">
        <v>1879.258098828850</v>
      </c>
      <c r="D20" s="19"/>
    </row>
    <row r="21" ht="20.05" customHeight="1">
      <c r="A21" s="28"/>
      <c r="B21" s="21"/>
      <c r="C21" s="14">
        <f>'Model'!F45</f>
        <v>1390.569548299750</v>
      </c>
      <c r="D21" s="19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1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1" width="11.6016" style="37" customWidth="1"/>
    <col min="12" max="16384" width="16.3516" style="37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A2" t="s" s="5">
        <v>1</v>
      </c>
      <c r="B2" t="s" s="5">
        <v>54</v>
      </c>
      <c r="C2" t="s" s="5">
        <v>12</v>
      </c>
      <c r="D2" t="s" s="5">
        <v>5</v>
      </c>
      <c r="E2" t="s" s="5">
        <v>59</v>
      </c>
      <c r="F2" t="s" s="5">
        <v>20</v>
      </c>
      <c r="G2" t="s" s="5">
        <v>46</v>
      </c>
      <c r="H2" t="s" s="5">
        <v>8</v>
      </c>
      <c r="I2" t="s" s="5">
        <v>9</v>
      </c>
      <c r="J2" t="s" s="5">
        <v>48</v>
      </c>
      <c r="K2" t="s" s="5">
        <v>50</v>
      </c>
    </row>
    <row r="3" ht="20.25" customHeight="1">
      <c r="A3" s="23">
        <v>1</v>
      </c>
      <c r="B3" s="38">
        <v>39628</v>
      </c>
      <c r="C3" s="25">
        <v>14629</v>
      </c>
      <c r="D3" s="25">
        <v>1754</v>
      </c>
      <c r="E3" s="25"/>
      <c r="F3" s="25">
        <v>792</v>
      </c>
      <c r="G3" s="25">
        <v>2403</v>
      </c>
      <c r="H3" s="25">
        <v>1136.5</v>
      </c>
      <c r="I3" s="25">
        <v>-102.5</v>
      </c>
      <c r="J3" s="25"/>
      <c r="K3" s="25">
        <v>-23.1</v>
      </c>
    </row>
    <row r="4" ht="20.05" customHeight="1">
      <c r="A4" s="30">
        <v>2</v>
      </c>
      <c r="B4" s="39">
        <v>42119</v>
      </c>
      <c r="C4" s="29">
        <v>15801</v>
      </c>
      <c r="D4" s="29">
        <v>4213</v>
      </c>
      <c r="E4" s="29"/>
      <c r="F4" s="29">
        <v>2127</v>
      </c>
      <c r="G4" s="29">
        <v>5626</v>
      </c>
      <c r="H4" s="29">
        <v>1898.2</v>
      </c>
      <c r="I4" s="29">
        <v>-707.3</v>
      </c>
      <c r="J4" s="29"/>
      <c r="K4" s="29">
        <v>649.2</v>
      </c>
    </row>
    <row r="5" ht="20.05" customHeight="1">
      <c r="A5" s="30">
        <v>3</v>
      </c>
      <c r="B5" s="39">
        <v>43472</v>
      </c>
      <c r="C5" s="29">
        <v>16820</v>
      </c>
      <c r="D5" s="29">
        <v>5827</v>
      </c>
      <c r="E5" s="29"/>
      <c r="F5" s="29">
        <v>2459</v>
      </c>
      <c r="G5" s="29">
        <v>7941</v>
      </c>
      <c r="H5" s="29">
        <v>2030</v>
      </c>
      <c r="I5" s="29">
        <v>-1306</v>
      </c>
      <c r="J5" s="29"/>
      <c r="K5" s="29">
        <v>258.4</v>
      </c>
    </row>
    <row r="6" ht="20.05" customHeight="1">
      <c r="A6" s="30">
        <v>4</v>
      </c>
      <c r="B6" s="39">
        <v>45951</v>
      </c>
      <c r="C6" s="29">
        <v>16754</v>
      </c>
      <c r="D6" s="29">
        <v>10347</v>
      </c>
      <c r="E6" s="29">
        <v>308</v>
      </c>
      <c r="F6" s="29">
        <v>5167</v>
      </c>
      <c r="G6" s="29">
        <v>11126</v>
      </c>
      <c r="H6" s="29">
        <v>4647.4</v>
      </c>
      <c r="I6" s="29">
        <v>-2998.6</v>
      </c>
      <c r="J6" s="29">
        <v>-562</v>
      </c>
      <c r="K6" s="29">
        <v>595.5</v>
      </c>
    </row>
    <row r="7" ht="20.05" customHeight="1">
      <c r="A7" s="30">
        <v>1</v>
      </c>
      <c r="B7" s="39">
        <v>48585</v>
      </c>
      <c r="C7" s="29">
        <v>18895</v>
      </c>
      <c r="D7" s="29">
        <v>1702</v>
      </c>
      <c r="E7" s="29"/>
      <c r="F7" s="29">
        <v>499</v>
      </c>
      <c r="G7" s="29">
        <v>1953</v>
      </c>
      <c r="H7" s="29">
        <v>338</v>
      </c>
      <c r="I7" s="29">
        <v>-3275.2</v>
      </c>
      <c r="J7" s="29"/>
      <c r="K7" s="29">
        <v>1992</v>
      </c>
    </row>
    <row r="8" ht="20.05" customHeight="1">
      <c r="A8" s="30">
        <v>2</v>
      </c>
      <c r="B8" s="39">
        <v>51375</v>
      </c>
      <c r="C8" s="29">
        <v>21653</v>
      </c>
      <c r="D8" s="29">
        <v>3120</v>
      </c>
      <c r="E8" s="29"/>
      <c r="F8" s="29">
        <v>579</v>
      </c>
      <c r="G8" s="29">
        <v>3664</v>
      </c>
      <c r="H8" s="29">
        <v>497.4</v>
      </c>
      <c r="I8" s="29">
        <v>-1760.5</v>
      </c>
      <c r="J8" s="29"/>
      <c r="K8" s="29">
        <v>4182.1</v>
      </c>
    </row>
    <row r="9" ht="20.05" customHeight="1">
      <c r="A9" s="30">
        <v>3</v>
      </c>
      <c r="B9" s="39">
        <v>52422</v>
      </c>
      <c r="C9" s="29">
        <v>22427</v>
      </c>
      <c r="D9" s="29">
        <v>4787</v>
      </c>
      <c r="E9" s="29"/>
      <c r="F9" s="29">
        <v>877</v>
      </c>
      <c r="G9" s="29">
        <v>5724</v>
      </c>
      <c r="H9" s="29">
        <v>854.8</v>
      </c>
      <c r="I9" s="29">
        <v>-2305.4</v>
      </c>
      <c r="J9" s="29"/>
      <c r="K9" s="29">
        <v>4209.5</v>
      </c>
    </row>
    <row r="10" ht="20.05" customHeight="1">
      <c r="A10" s="30">
        <v>4</v>
      </c>
      <c r="B10" s="39">
        <v>52102</v>
      </c>
      <c r="C10" s="29">
        <v>21815</v>
      </c>
      <c r="D10" s="29">
        <v>6629</v>
      </c>
      <c r="E10" s="29">
        <v>392</v>
      </c>
      <c r="F10" s="29">
        <v>1702</v>
      </c>
      <c r="G10" s="29">
        <v>7742</v>
      </c>
      <c r="H10" s="29">
        <v>1616.7</v>
      </c>
      <c r="I10" s="29">
        <v>-2651.7</v>
      </c>
      <c r="J10" s="29">
        <v>-827</v>
      </c>
      <c r="K10" s="29">
        <v>3362.6</v>
      </c>
    </row>
    <row r="11" ht="20.05" customHeight="1">
      <c r="A11" s="30">
        <v>1</v>
      </c>
      <c r="B11" s="39">
        <v>52503</v>
      </c>
      <c r="C11" s="29">
        <v>21396</v>
      </c>
      <c r="D11" s="29">
        <v>1630</v>
      </c>
      <c r="E11" s="29"/>
      <c r="F11" s="29">
        <v>716</v>
      </c>
      <c r="G11" s="29">
        <v>1889</v>
      </c>
      <c r="H11" s="29">
        <v>458.2</v>
      </c>
      <c r="I11" s="29">
        <v>-571.6</v>
      </c>
      <c r="J11" s="29"/>
      <c r="K11" s="29">
        <v>-387.2</v>
      </c>
    </row>
    <row r="12" ht="20.05" customHeight="1">
      <c r="A12" s="30">
        <v>2</v>
      </c>
      <c r="B12" s="39">
        <v>53306</v>
      </c>
      <c r="C12" s="29">
        <v>20695</v>
      </c>
      <c r="D12" s="29">
        <v>3601</v>
      </c>
      <c r="E12" s="29"/>
      <c r="F12" s="29">
        <v>2253</v>
      </c>
      <c r="G12" s="29">
        <v>4132</v>
      </c>
      <c r="H12" s="29">
        <v>1207.4</v>
      </c>
      <c r="I12" s="29">
        <v>-1453.4</v>
      </c>
      <c r="J12" s="29"/>
      <c r="K12" s="29">
        <v>-1005.4</v>
      </c>
    </row>
    <row r="13" ht="20.05" customHeight="1">
      <c r="A13" s="30">
        <v>3</v>
      </c>
      <c r="B13" s="39">
        <v>53267</v>
      </c>
      <c r="C13" s="29">
        <v>20400</v>
      </c>
      <c r="D13" s="29">
        <v>5231</v>
      </c>
      <c r="E13" s="29"/>
      <c r="F13" s="29">
        <v>2521</v>
      </c>
      <c r="G13" s="29">
        <v>6017</v>
      </c>
      <c r="H13" s="29">
        <v>1496.7</v>
      </c>
      <c r="I13" s="29">
        <v>-1001.1</v>
      </c>
      <c r="J13" s="29"/>
      <c r="K13" s="29">
        <v>-1731.8</v>
      </c>
    </row>
    <row r="14" ht="20.05" customHeight="1">
      <c r="A14" s="30">
        <v>4</v>
      </c>
      <c r="B14" s="39">
        <v>54445</v>
      </c>
      <c r="C14" s="29">
        <v>20897</v>
      </c>
      <c r="D14" s="29">
        <v>7085</v>
      </c>
      <c r="E14" s="29">
        <v>359</v>
      </c>
      <c r="F14" s="29">
        <v>3130</v>
      </c>
      <c r="G14" s="29">
        <v>8239</v>
      </c>
      <c r="H14" s="29">
        <v>2017</v>
      </c>
      <c r="I14" s="29">
        <v>-1969.2</v>
      </c>
      <c r="J14" s="29">
        <v>-911</v>
      </c>
      <c r="K14" s="29">
        <v>-1280.4</v>
      </c>
    </row>
    <row r="15" ht="20.05" customHeight="1">
      <c r="A15" s="28"/>
      <c r="B15" s="39"/>
      <c r="C15" s="29"/>
      <c r="D15" s="29"/>
      <c r="E15" s="29"/>
      <c r="F15" s="29"/>
      <c r="G15" s="29"/>
      <c r="H15" s="29"/>
      <c r="I15" s="29"/>
      <c r="J15" s="29"/>
      <c r="K15" s="29"/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B3:AB6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6484" style="40" customWidth="1"/>
    <col min="2" max="6" width="8.89844" style="40" customWidth="1"/>
    <col min="7" max="16" width="12.3984" style="41" customWidth="1"/>
    <col min="17" max="28" width="11.375" style="42" customWidth="1"/>
    <col min="29" max="16384" width="16.3516" style="42" customWidth="1"/>
  </cols>
  <sheetData>
    <row r="1" ht="25.9" customHeight="1"/>
    <row r="2" ht="27.65" customHeight="1">
      <c r="B2" t="s" s="2">
        <v>60</v>
      </c>
      <c r="C2" s="2"/>
      <c r="D2" s="2"/>
      <c r="E2" s="2"/>
      <c r="F2" s="2"/>
    </row>
    <row r="3" ht="20.25" customHeight="1">
      <c r="B3" s="4"/>
      <c r="C3" t="s" s="3">
        <v>50</v>
      </c>
      <c r="D3" t="s" s="3">
        <v>61</v>
      </c>
      <c r="E3" s="4"/>
      <c r="F3" t="s" s="3">
        <v>30</v>
      </c>
    </row>
    <row r="4" ht="20.25" customHeight="1">
      <c r="B4" s="23">
        <v>2007</v>
      </c>
      <c r="C4" s="24">
        <v>117.1</v>
      </c>
      <c r="D4" s="26">
        <v>-131.8</v>
      </c>
      <c r="E4" s="26">
        <f>-(C4-D4)</f>
        <v>-248.9</v>
      </c>
      <c r="F4" s="26">
        <f>E4</f>
        <v>-248.9</v>
      </c>
    </row>
    <row r="5" ht="20.05" customHeight="1">
      <c r="B5" s="30">
        <v>2008</v>
      </c>
      <c r="C5" s="13">
        <v>174.8</v>
      </c>
      <c r="D5" s="14">
        <v>-157.8</v>
      </c>
      <c r="E5" s="14">
        <f>-(C5-D5)</f>
        <v>-332.6</v>
      </c>
      <c r="F5" s="14">
        <f>E5+F4</f>
        <v>-581.5</v>
      </c>
    </row>
    <row r="6" ht="20.05" customHeight="1">
      <c r="B6" s="30">
        <v>2009</v>
      </c>
      <c r="C6" s="13">
        <v>-501.6</v>
      </c>
      <c r="D6" s="14">
        <v>-223.5</v>
      </c>
      <c r="E6" s="14">
        <f>-(C6-D6)</f>
        <v>278.1</v>
      </c>
      <c r="F6" s="14">
        <f>E6+F5</f>
        <v>-303.4</v>
      </c>
    </row>
    <row r="7" ht="20.05" customHeight="1">
      <c r="B7" s="30">
        <v>2010</v>
      </c>
      <c r="C7" s="13">
        <v>4526</v>
      </c>
      <c r="D7" s="14">
        <v>-112</v>
      </c>
      <c r="E7" s="14">
        <f>-(C7-D7)</f>
        <v>-4638</v>
      </c>
      <c r="F7" s="14">
        <f>E7+F6</f>
        <v>-4941.4</v>
      </c>
    </row>
    <row r="8" ht="20.05" customHeight="1">
      <c r="B8" s="30">
        <v>2011</v>
      </c>
      <c r="C8" s="13">
        <v>-987</v>
      </c>
      <c r="D8" s="14">
        <v>-167</v>
      </c>
      <c r="E8" s="14">
        <f>-(C8-D8)</f>
        <v>820</v>
      </c>
      <c r="F8" s="14">
        <f>E8+F7</f>
        <v>-4121.4</v>
      </c>
    </row>
    <row r="9" ht="20.05" customHeight="1">
      <c r="B9" s="30">
        <v>2012</v>
      </c>
      <c r="C9" s="13">
        <v>304</v>
      </c>
      <c r="D9" s="14">
        <v>-80</v>
      </c>
      <c r="E9" s="14">
        <f>-(C9-D9)</f>
        <v>-384</v>
      </c>
      <c r="F9" s="14">
        <f>E9+F8</f>
        <v>-4505.4</v>
      </c>
    </row>
    <row r="10" ht="20.05" customHeight="1">
      <c r="B10" s="30">
        <v>2013</v>
      </c>
      <c r="C10" s="13">
        <v>2581</v>
      </c>
      <c r="D10" s="14">
        <v>-166</v>
      </c>
      <c r="E10" s="14">
        <f>-(C10-D10)</f>
        <v>-2747</v>
      </c>
      <c r="F10" s="14">
        <f>E10+F9</f>
        <v>-7252.4</v>
      </c>
    </row>
    <row r="11" ht="20.05" customHeight="1">
      <c r="B11" s="30">
        <v>2014</v>
      </c>
      <c r="C11" s="13">
        <v>673</v>
      </c>
      <c r="D11" s="14">
        <v>-376</v>
      </c>
      <c r="E11" s="14">
        <f>-(C11-D11)</f>
        <v>-1049</v>
      </c>
      <c r="F11" s="14">
        <f>E11+F10</f>
        <v>-8301.4</v>
      </c>
    </row>
    <row r="12" ht="20.05" customHeight="1">
      <c r="B12" s="30">
        <v>2015</v>
      </c>
      <c r="C12" s="13">
        <v>4068</v>
      </c>
      <c r="D12" s="14">
        <v>-635</v>
      </c>
      <c r="E12" s="14">
        <f>-(C12-D12)</f>
        <v>-4703</v>
      </c>
      <c r="F12" s="14">
        <f>E12+F11</f>
        <v>-13004.4</v>
      </c>
    </row>
    <row r="13" ht="20.05" customHeight="1">
      <c r="B13" s="30">
        <v>2016</v>
      </c>
      <c r="C13" s="13">
        <v>-1254</v>
      </c>
      <c r="D13" s="14">
        <v>-824</v>
      </c>
      <c r="E13" s="14">
        <f>-(C13-D13)</f>
        <v>430</v>
      </c>
      <c r="F13" s="14">
        <f>E13+F12</f>
        <v>-12574.4</v>
      </c>
    </row>
    <row r="14" ht="20.05" customHeight="1">
      <c r="B14" s="30">
        <v>2017</v>
      </c>
      <c r="C14" s="13">
        <v>596</v>
      </c>
      <c r="D14" s="14">
        <v>-562</v>
      </c>
      <c r="E14" s="14">
        <f>-(C14-D14)</f>
        <v>-1158</v>
      </c>
      <c r="F14" s="14">
        <f>E14+F13</f>
        <v>-13732.4</v>
      </c>
    </row>
    <row r="15" ht="20.05" customHeight="1">
      <c r="B15" s="30">
        <v>2018</v>
      </c>
      <c r="C15" s="13">
        <v>3363</v>
      </c>
      <c r="D15" s="14">
        <v>-828</v>
      </c>
      <c r="E15" s="14">
        <f>-(C15-D15)</f>
        <v>-4191</v>
      </c>
      <c r="F15" s="14">
        <f>E15+F14</f>
        <v>-17923.4</v>
      </c>
    </row>
    <row r="16" ht="20.05" customHeight="1">
      <c r="B16" s="30">
        <v>2019</v>
      </c>
      <c r="C16" s="13">
        <v>-1280</v>
      </c>
      <c r="D16" s="14">
        <v>-915</v>
      </c>
      <c r="E16" s="14">
        <f>-(C16-D16)</f>
        <v>365</v>
      </c>
      <c r="F16" s="14">
        <f>E16+F15</f>
        <v>-17558.4</v>
      </c>
    </row>
    <row r="17" ht="20.05" customHeight="1">
      <c r="B17" s="30">
        <v>2020</v>
      </c>
      <c r="C17" s="13">
        <v>3307</v>
      </c>
      <c r="D17" s="14">
        <v>-1153</v>
      </c>
      <c r="E17" s="14">
        <f>-(C17-D17)</f>
        <v>-4460</v>
      </c>
      <c r="F17" s="14">
        <f>E17+F16</f>
        <v>-22018.4</v>
      </c>
    </row>
    <row r="18" ht="20.05" customHeight="1">
      <c r="B18" s="30">
        <v>2021</v>
      </c>
      <c r="C18" s="13">
        <v>-5759</v>
      </c>
      <c r="D18" s="14">
        <v>-597</v>
      </c>
      <c r="E18" s="14">
        <f>-(C18-D18)</f>
        <v>5162</v>
      </c>
      <c r="F18" s="14">
        <f>E18+F17</f>
        <v>-16856.4</v>
      </c>
    </row>
    <row r="19" ht="20.05" customHeight="1">
      <c r="B19" s="28"/>
      <c r="C19" s="13"/>
      <c r="D19" s="14"/>
      <c r="E19" s="14">
        <f>SUM(E12:E16)</f>
        <v>-9257</v>
      </c>
      <c r="F19" s="14"/>
    </row>
    <row r="21" ht="27.65" customHeight="1">
      <c r="G21" t="s" s="2">
        <v>62</v>
      </c>
      <c r="H21" s="2"/>
      <c r="I21" s="2"/>
      <c r="J21" s="2"/>
      <c r="K21" s="2"/>
      <c r="L21" s="2"/>
      <c r="M21" s="2"/>
      <c r="N21" s="2"/>
      <c r="O21" s="2"/>
      <c r="P21" s="2"/>
    </row>
    <row r="22" ht="20.25" customHeight="1">
      <c r="G22" t="s" s="5">
        <v>1</v>
      </c>
      <c r="H22" t="s" s="5">
        <v>12</v>
      </c>
      <c r="I22" t="s" s="5">
        <v>15</v>
      </c>
      <c r="J22" t="s" s="5">
        <v>63</v>
      </c>
      <c r="K22" t="s" s="5">
        <v>12</v>
      </c>
      <c r="L22" t="s" s="5">
        <v>15</v>
      </c>
      <c r="M22" t="s" s="5">
        <v>63</v>
      </c>
      <c r="N22" s="4"/>
      <c r="O22" s="4"/>
      <c r="P22" s="4"/>
    </row>
    <row r="23" ht="20.25" customHeight="1">
      <c r="G23" s="23">
        <v>2005</v>
      </c>
      <c r="H23" s="24"/>
      <c r="I23" s="26"/>
      <c r="J23" s="26">
        <f>H23+I23</f>
        <v>0</v>
      </c>
      <c r="K23" s="26">
        <f>H23</f>
        <v>0</v>
      </c>
      <c r="L23" s="26">
        <f>I23</f>
        <v>0</v>
      </c>
      <c r="M23" s="26">
        <f>J23</f>
        <v>0</v>
      </c>
      <c r="N23" s="8"/>
      <c r="O23" s="8"/>
      <c r="P23" s="8"/>
    </row>
    <row r="24" ht="20.05" customHeight="1">
      <c r="G24" s="30">
        <f>1+$G23</f>
        <v>2006</v>
      </c>
      <c r="H24" s="13"/>
      <c r="I24" s="14"/>
      <c r="J24" s="14">
        <f>H24+I24</f>
        <v>0</v>
      </c>
      <c r="K24" s="14">
        <f>H24+K23</f>
        <v>0</v>
      </c>
      <c r="L24" s="14">
        <f>I24+L23</f>
        <v>0</v>
      </c>
      <c r="M24" s="14">
        <f>J24+M23</f>
        <v>0</v>
      </c>
      <c r="N24" s="19"/>
      <c r="O24" s="19"/>
      <c r="P24" s="19"/>
    </row>
    <row r="25" ht="20.05" customHeight="1">
      <c r="G25" s="30">
        <f>1+$G24</f>
        <v>2007</v>
      </c>
      <c r="H25" s="13">
        <v>250</v>
      </c>
      <c r="I25" s="14">
        <v>0</v>
      </c>
      <c r="J25" s="14">
        <f>H25+I25</f>
        <v>250</v>
      </c>
      <c r="K25" s="14">
        <f>H25+K24</f>
        <v>250</v>
      </c>
      <c r="L25" s="14">
        <f>I25+L24</f>
        <v>0</v>
      </c>
      <c r="M25" s="14">
        <f>J25+M24</f>
        <v>250</v>
      </c>
      <c r="N25" s="19"/>
      <c r="O25" s="19"/>
      <c r="P25" s="19"/>
    </row>
    <row r="26" ht="20.05" customHeight="1">
      <c r="G26" s="30">
        <f>1+$G25</f>
        <v>2008</v>
      </c>
      <c r="H26" s="13">
        <v>-250</v>
      </c>
      <c r="I26" s="14">
        <v>583</v>
      </c>
      <c r="J26" s="14">
        <f>H26+I26</f>
        <v>333</v>
      </c>
      <c r="K26" s="14">
        <f>H26+K25</f>
        <v>0</v>
      </c>
      <c r="L26" s="14">
        <f>I26+L25</f>
        <v>583</v>
      </c>
      <c r="M26" s="14">
        <f>J26+M25</f>
        <v>583</v>
      </c>
      <c r="N26" s="19"/>
      <c r="O26" s="19"/>
      <c r="P26" s="19"/>
    </row>
    <row r="27" ht="20.05" customHeight="1">
      <c r="G27" s="30">
        <f>1+$G26</f>
        <v>2009</v>
      </c>
      <c r="H27" s="13">
        <v>-230</v>
      </c>
      <c r="I27" s="14">
        <v>-50</v>
      </c>
      <c r="J27" s="14">
        <f>H27+I27</f>
        <v>-280</v>
      </c>
      <c r="K27" s="14">
        <f>H27+K26</f>
        <v>-230</v>
      </c>
      <c r="L27" s="14">
        <f>I27+L26</f>
        <v>533</v>
      </c>
      <c r="M27" s="14">
        <f>J27+M26</f>
        <v>303</v>
      </c>
      <c r="N27" s="19"/>
      <c r="O27" s="19"/>
      <c r="P27" s="19"/>
    </row>
    <row r="28" ht="20.05" customHeight="1">
      <c r="G28" s="30">
        <f>1+$G27</f>
        <v>2010</v>
      </c>
      <c r="H28" s="13">
        <v>-234</v>
      </c>
      <c r="I28" s="14">
        <v>4871</v>
      </c>
      <c r="J28" s="14">
        <f>H28+I28</f>
        <v>4637</v>
      </c>
      <c r="K28" s="14">
        <f>H28+K27</f>
        <v>-464</v>
      </c>
      <c r="L28" s="14">
        <f>I28+L27</f>
        <v>5404</v>
      </c>
      <c r="M28" s="14">
        <f>J28+M27</f>
        <v>4940</v>
      </c>
      <c r="N28" s="19"/>
      <c r="O28" s="19"/>
      <c r="P28" s="19"/>
    </row>
    <row r="29" ht="20.05" customHeight="1">
      <c r="G29" s="30">
        <f>1+$G28</f>
        <v>2011</v>
      </c>
      <c r="H29" s="13">
        <v>-647</v>
      </c>
      <c r="I29" s="14">
        <v>-174</v>
      </c>
      <c r="J29" s="14">
        <f>H29+I29</f>
        <v>-821</v>
      </c>
      <c r="K29" s="14">
        <f>H29+K28</f>
        <v>-1111</v>
      </c>
      <c r="L29" s="14">
        <f>I29+L28</f>
        <v>5230</v>
      </c>
      <c r="M29" s="14">
        <f>J29+M28</f>
        <v>4119</v>
      </c>
      <c r="N29" s="19"/>
      <c r="O29" s="19"/>
      <c r="P29" s="19"/>
    </row>
    <row r="30" ht="20.05" customHeight="1">
      <c r="G30" s="30">
        <f>1+$G29</f>
        <v>2012</v>
      </c>
      <c r="H30" s="13">
        <v>471</v>
      </c>
      <c r="I30" s="14">
        <v>-87</v>
      </c>
      <c r="J30" s="14">
        <f>H30+I30</f>
        <v>384</v>
      </c>
      <c r="K30" s="14">
        <f>H30+K29</f>
        <v>-640</v>
      </c>
      <c r="L30" s="14">
        <f>I30+L29</f>
        <v>5143</v>
      </c>
      <c r="M30" s="14">
        <f>J30+M29</f>
        <v>4503</v>
      </c>
      <c r="N30" s="19"/>
      <c r="O30" s="19"/>
      <c r="P30" s="19"/>
    </row>
    <row r="31" ht="20.05" customHeight="1">
      <c r="G31" s="30">
        <f>1+$G30</f>
        <v>2013</v>
      </c>
      <c r="H31" s="13">
        <v>2978</v>
      </c>
      <c r="I31" s="14">
        <v>-231</v>
      </c>
      <c r="J31" s="14">
        <f>H31+I31</f>
        <v>2747</v>
      </c>
      <c r="K31" s="14">
        <f>H31+K30</f>
        <v>2338</v>
      </c>
      <c r="L31" s="14">
        <f>I31+L30</f>
        <v>4912</v>
      </c>
      <c r="M31" s="14">
        <f>J31+M30</f>
        <v>7250</v>
      </c>
      <c r="N31" s="19"/>
      <c r="O31" s="19"/>
      <c r="P31" s="19"/>
    </row>
    <row r="32" ht="20.05" customHeight="1">
      <c r="G32" s="30">
        <f>1+$G31</f>
        <v>2014</v>
      </c>
      <c r="H32" s="13">
        <v>160</v>
      </c>
      <c r="I32" s="14">
        <v>888</v>
      </c>
      <c r="J32" s="14">
        <f>H32+I32</f>
        <v>1048</v>
      </c>
      <c r="K32" s="14">
        <f>H32+K31</f>
        <v>2498</v>
      </c>
      <c r="L32" s="14">
        <f>I32+L31</f>
        <v>5800</v>
      </c>
      <c r="M32" s="14">
        <f>J32+M31</f>
        <v>8298</v>
      </c>
      <c r="N32" s="19"/>
      <c r="O32" s="19"/>
      <c r="P32" s="19"/>
    </row>
    <row r="33" ht="20.05" customHeight="1">
      <c r="G33" s="30">
        <f>1+$G32</f>
        <v>2015</v>
      </c>
      <c r="H33" s="13">
        <v>3466</v>
      </c>
      <c r="I33" s="14">
        <v>1271</v>
      </c>
      <c r="J33" s="14">
        <f>H33+I33</f>
        <v>4737</v>
      </c>
      <c r="K33" s="14">
        <f>H33+K32</f>
        <v>5964</v>
      </c>
      <c r="L33" s="14">
        <f>I33+L32</f>
        <v>7071</v>
      </c>
      <c r="M33" s="14">
        <f>J33+M32</f>
        <v>13035</v>
      </c>
      <c r="N33" s="19"/>
      <c r="O33" s="19"/>
      <c r="P33" s="19"/>
    </row>
    <row r="34" ht="20.05" customHeight="1">
      <c r="G34" s="30">
        <f>1+$G33</f>
        <v>2016</v>
      </c>
      <c r="H34" s="13">
        <v>-427</v>
      </c>
      <c r="I34" s="14">
        <v>68</v>
      </c>
      <c r="J34" s="14">
        <f>H34+I34</f>
        <v>-359</v>
      </c>
      <c r="K34" s="14">
        <f>H34+K33</f>
        <v>5537</v>
      </c>
      <c r="L34" s="14">
        <f>I34+L33</f>
        <v>7139</v>
      </c>
      <c r="M34" s="14">
        <f>J34+M33</f>
        <v>12676</v>
      </c>
      <c r="N34" s="19"/>
      <c r="O34" s="19"/>
      <c r="P34" s="19"/>
    </row>
    <row r="35" ht="20.05" customHeight="1">
      <c r="G35" s="30">
        <f>1+$G34</f>
        <v>2017</v>
      </c>
      <c r="H35" s="13">
        <v>1398</v>
      </c>
      <c r="I35" s="14">
        <v>-175</v>
      </c>
      <c r="J35" s="14">
        <f>H35+I35</f>
        <v>1223</v>
      </c>
      <c r="K35" s="14">
        <f>H35+K34</f>
        <v>6935</v>
      </c>
      <c r="L35" s="14">
        <f>I35+L34</f>
        <v>6964</v>
      </c>
      <c r="M35" s="14">
        <f>J35+M34</f>
        <v>13899</v>
      </c>
      <c r="N35" s="19"/>
      <c r="O35" s="19"/>
      <c r="P35" s="19"/>
    </row>
    <row r="36" ht="20.05" customHeight="1">
      <c r="G36" s="30">
        <f>1+$G35</f>
        <v>2018</v>
      </c>
      <c r="H36" s="13">
        <v>4581</v>
      </c>
      <c r="I36" s="14">
        <v>-342</v>
      </c>
      <c r="J36" s="14">
        <f>H36+I36</f>
        <v>4239</v>
      </c>
      <c r="K36" s="14">
        <f>H36+K35</f>
        <v>11516</v>
      </c>
      <c r="L36" s="14">
        <f>I36+L35</f>
        <v>6622</v>
      </c>
      <c r="M36" s="14">
        <f>J36+M35</f>
        <v>18138</v>
      </c>
      <c r="N36" s="19"/>
      <c r="O36" s="19"/>
      <c r="P36" s="19"/>
    </row>
    <row r="37" ht="20.05" customHeight="1">
      <c r="G37" s="30">
        <f>1+$G36</f>
        <v>2019</v>
      </c>
      <c r="H37" s="13">
        <v>-256</v>
      </c>
      <c r="I37" s="14">
        <v>-103</v>
      </c>
      <c r="J37" s="14">
        <f>H37+I37</f>
        <v>-359</v>
      </c>
      <c r="K37" s="14">
        <f>H37+K36</f>
        <v>11260</v>
      </c>
      <c r="L37" s="14">
        <f>I37+L36</f>
        <v>6519</v>
      </c>
      <c r="M37" s="14">
        <f>J37+M36</f>
        <v>17779</v>
      </c>
      <c r="N37" s="19"/>
      <c r="O37" s="19"/>
      <c r="P37" s="19"/>
    </row>
    <row r="38" ht="20.05" customHeight="1">
      <c r="G38" s="30">
        <f>1+$G37</f>
        <v>2020</v>
      </c>
      <c r="H38" s="13">
        <v>3400</v>
      </c>
      <c r="I38" s="14">
        <v>1060</v>
      </c>
      <c r="J38" s="14">
        <f>H38+I38</f>
        <v>4460</v>
      </c>
      <c r="K38" s="14">
        <f>H38+K37</f>
        <v>14660</v>
      </c>
      <c r="L38" s="14">
        <f>I38+L37</f>
        <v>7579</v>
      </c>
      <c r="M38" s="14">
        <f>J38+M37</f>
        <v>22239</v>
      </c>
      <c r="N38" s="19"/>
      <c r="O38" s="19"/>
      <c r="P38" s="19"/>
    </row>
    <row r="39" ht="20.05" customHeight="1">
      <c r="G39" s="30">
        <f>1+$G38</f>
        <v>2021</v>
      </c>
      <c r="H39" s="13">
        <f>SUM('Cashflow '!G19:G22)</f>
        <v>-5360.5</v>
      </c>
      <c r="I39" s="14">
        <f>SUM('Cashflow '!H19:H22)</f>
        <v>-326</v>
      </c>
      <c r="J39" s="14">
        <f>H39+I39</f>
        <v>-5686.5</v>
      </c>
      <c r="K39" s="14">
        <f>H39+K38</f>
        <v>9299.5</v>
      </c>
      <c r="L39" s="14">
        <f>I39+L38</f>
        <v>7253</v>
      </c>
      <c r="M39" s="14">
        <f>J39+M38</f>
        <v>16552.5</v>
      </c>
      <c r="N39" s="14">
        <f>AVERAGE(J25:J39)</f>
        <v>1103.5</v>
      </c>
      <c r="O39" s="14">
        <f>AVERAGE(J35:J39)</f>
        <v>775.3</v>
      </c>
      <c r="P39" s="33">
        <f>J39</f>
        <v>-5686.5</v>
      </c>
    </row>
    <row r="41" ht="27.65" customHeight="1">
      <c r="Q41" t="s" s="2">
        <v>64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20.25" customHeight="1"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20.25" customHeight="1">
      <c r="Q43" s="43"/>
      <c r="R43" t="s" s="44">
        <v>65</v>
      </c>
      <c r="S43" s="45">
        <v>20181430566912</v>
      </c>
      <c r="T43" s="8"/>
      <c r="U43" s="8"/>
      <c r="V43" s="8"/>
      <c r="W43" s="8"/>
      <c r="X43" s="8"/>
      <c r="Y43" s="8"/>
      <c r="Z43" s="8"/>
      <c r="AA43" s="8"/>
      <c r="AB43" s="8"/>
    </row>
    <row r="44" ht="32.05" customHeight="1">
      <c r="Q44" s="28"/>
      <c r="R44" t="s" s="46">
        <v>56</v>
      </c>
      <c r="S44" t="s" s="47">
        <v>66</v>
      </c>
      <c r="T44" s="16">
        <f>Z63</f>
        <v>-0.281768925208066</v>
      </c>
      <c r="U44" t="s" s="47">
        <f>AA63</f>
        <v>67</v>
      </c>
      <c r="V44" t="s" s="47">
        <f>AB63</f>
        <v>68</v>
      </c>
      <c r="W44" s="19"/>
      <c r="X44" s="19"/>
      <c r="Y44" s="19"/>
      <c r="Z44" s="19"/>
      <c r="AA44" s="19"/>
      <c r="AB44" s="19"/>
    </row>
    <row r="45" ht="20.05" customHeight="1">
      <c r="Q45" s="28"/>
      <c r="R45" s="48">
        <v>44664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ht="20.05" customHeight="1">
      <c r="Q46" s="28"/>
      <c r="R46" t="s" s="46">
        <v>69</v>
      </c>
      <c r="S46" s="33">
        <f>$G25</f>
        <v>2007</v>
      </c>
      <c r="T46" s="19"/>
      <c r="U46" s="19"/>
      <c r="V46" s="19"/>
      <c r="W46" s="19"/>
      <c r="X46" s="19"/>
      <c r="Y46" s="19"/>
      <c r="Z46" s="19"/>
      <c r="AA46" s="19"/>
      <c r="AB46" s="19"/>
    </row>
    <row r="47" ht="32.05" customHeight="1">
      <c r="Q47" s="28"/>
      <c r="R47" t="s" s="46">
        <v>70</v>
      </c>
      <c r="S47" s="33">
        <f>(2022-S46)*4</f>
        <v>60</v>
      </c>
      <c r="T47" s="19"/>
      <c r="U47" s="19"/>
      <c r="V47" s="19"/>
      <c r="W47" s="19"/>
      <c r="X47" s="19"/>
      <c r="Y47" s="19"/>
      <c r="Z47" s="19"/>
      <c r="AA47" s="19"/>
      <c r="AB47" s="19"/>
    </row>
    <row r="48" ht="32.05" customHeight="1">
      <c r="Q48" s="28"/>
      <c r="R48" t="s" s="46">
        <v>71</v>
      </c>
      <c r="S48" s="14">
        <f>(S43/1000000000)</f>
        <v>20181.430566912</v>
      </c>
      <c r="T48" s="19"/>
      <c r="U48" s="19"/>
      <c r="V48" s="19"/>
      <c r="W48" s="19"/>
      <c r="X48" s="19"/>
      <c r="Y48" s="19"/>
      <c r="Z48" s="19"/>
      <c r="AA48" s="19"/>
      <c r="AB48" s="19"/>
    </row>
    <row r="49" ht="20.05" customHeight="1">
      <c r="Q49" s="28"/>
      <c r="R49" t="s" s="46">
        <v>12</v>
      </c>
      <c r="S49" s="14">
        <f>X53</f>
        <v>9299.5</v>
      </c>
      <c r="T49" t="s" s="47">
        <f>X50</f>
        <v>72</v>
      </c>
      <c r="U49" t="s" s="47">
        <f>IF(S49&gt;0,"raised","paid")</f>
        <v>73</v>
      </c>
      <c r="V49" s="19"/>
      <c r="W49" s="19"/>
      <c r="X49" s="19"/>
      <c r="Y49" s="19"/>
      <c r="Z49" s="19"/>
      <c r="AA49" s="19"/>
      <c r="AB49" s="19"/>
    </row>
    <row r="50" ht="32.05" customHeight="1">
      <c r="Q50" s="28"/>
      <c r="R50" t="s" s="46">
        <f>R44</f>
        <v>56</v>
      </c>
      <c r="S50" t="s" s="47">
        <v>74</v>
      </c>
      <c r="T50" t="s" s="47">
        <f>IF(W50&gt;0,"raised","paid")</f>
        <v>73</v>
      </c>
      <c r="U50" t="s" s="47">
        <v>75</v>
      </c>
      <c r="V50" t="s" s="47">
        <v>76</v>
      </c>
      <c r="W50" s="14">
        <f>AVERAGE(H25:H39)</f>
        <v>619.966666666667</v>
      </c>
      <c r="X50" t="s" s="47">
        <v>72</v>
      </c>
      <c r="Y50" t="s" s="47">
        <v>77</v>
      </c>
      <c r="Z50" s="16">
        <f>W50/S48</f>
        <v>0.0307196590752649</v>
      </c>
      <c r="AA50" t="s" s="47">
        <v>67</v>
      </c>
      <c r="AB50" s="19"/>
    </row>
    <row r="51" ht="32.05" customHeight="1">
      <c r="Q51" s="28"/>
      <c r="R51" t="s" s="46">
        <v>78</v>
      </c>
      <c r="S51" t="s" s="47">
        <f>U50</f>
        <v>75</v>
      </c>
      <c r="T51" t="s" s="47">
        <v>79</v>
      </c>
      <c r="U51" t="s" s="47">
        <f>IF(W51&gt;0,"raised","paid")</f>
        <v>73</v>
      </c>
      <c r="V51" t="s" s="47">
        <v>76</v>
      </c>
      <c r="W51" s="14">
        <f>AVERAGE(H35:H39)</f>
        <v>752.5</v>
      </c>
      <c r="X51" t="s" s="47">
        <f>X50</f>
        <v>72</v>
      </c>
      <c r="Y51" t="s" s="47">
        <v>77</v>
      </c>
      <c r="Z51" s="16">
        <f>W51/S48</f>
        <v>0.0372867521707675</v>
      </c>
      <c r="AA51" t="s" s="47">
        <v>67</v>
      </c>
      <c r="AB51" s="19"/>
    </row>
    <row r="52" ht="44.05" customHeight="1">
      <c r="Q52" s="28"/>
      <c r="R52" t="s" s="46">
        <v>80</v>
      </c>
      <c r="S52" t="s" s="47">
        <v>81</v>
      </c>
      <c r="T52" s="14">
        <f>MAX(K25:K39)</f>
        <v>14660</v>
      </c>
      <c r="U52" t="s" s="47">
        <f>X51</f>
        <v>72</v>
      </c>
      <c r="V52" t="s" s="47">
        <v>82</v>
      </c>
      <c r="W52" s="33">
        <f>$G38</f>
        <v>2020</v>
      </c>
      <c r="X52" s="19"/>
      <c r="Y52" s="19"/>
      <c r="Z52" s="19"/>
      <c r="AA52" s="19"/>
      <c r="AB52" s="19"/>
    </row>
    <row r="53" ht="32.05" customHeight="1">
      <c r="Q53" s="28"/>
      <c r="R53" t="s" s="46">
        <v>83</v>
      </c>
      <c r="S53" t="s" s="47">
        <f>S51</f>
        <v>75</v>
      </c>
      <c r="T53" t="s" s="47">
        <v>84</v>
      </c>
      <c r="U53" t="s" s="47">
        <v>85</v>
      </c>
      <c r="V53" t="s" s="47">
        <f>IF(X53&lt;T52,"down","up")</f>
        <v>86</v>
      </c>
      <c r="W53" t="s" s="47">
        <v>87</v>
      </c>
      <c r="X53" s="14">
        <f>K39</f>
        <v>9299.5</v>
      </c>
      <c r="Y53" t="s" s="47">
        <f>X51</f>
        <v>72</v>
      </c>
      <c r="Z53" s="19"/>
      <c r="AA53" s="19"/>
      <c r="AB53" s="19"/>
    </row>
    <row r="54" ht="20.05" customHeight="1">
      <c r="Q54" s="28"/>
      <c r="R54" t="s" s="46">
        <v>15</v>
      </c>
      <c r="S54" s="14">
        <f>X58</f>
        <v>7253</v>
      </c>
      <c r="T54" t="s" s="47">
        <f>Y53</f>
        <v>72</v>
      </c>
      <c r="U54" t="s" s="47">
        <f>IF(S54&gt;0,"raised","paid")</f>
        <v>73</v>
      </c>
      <c r="V54" s="19"/>
      <c r="W54" s="19"/>
      <c r="X54" s="19"/>
      <c r="Y54" s="19"/>
      <c r="Z54" s="19"/>
      <c r="AA54" s="19"/>
      <c r="AB54" s="19"/>
    </row>
    <row r="55" ht="32.05" customHeight="1">
      <c r="Q55" s="28"/>
      <c r="R55" t="s" s="46">
        <f>R50</f>
        <v>56</v>
      </c>
      <c r="S55" t="s" s="47">
        <v>74</v>
      </c>
      <c r="T55" t="s" s="47">
        <f>IF(W55&gt;0,"raised","paid")</f>
        <v>73</v>
      </c>
      <c r="U55" t="s" s="47">
        <v>88</v>
      </c>
      <c r="V55" t="s" s="47">
        <f>V50</f>
        <v>76</v>
      </c>
      <c r="W55" s="14">
        <f>AVERAGE(I25:I39)</f>
        <v>483.533333333333</v>
      </c>
      <c r="X55" t="s" s="47">
        <f>X50</f>
        <v>72</v>
      </c>
      <c r="Y55" t="s" s="47">
        <f>Y50</f>
        <v>77</v>
      </c>
      <c r="Z55" s="16">
        <f>W55/S48</f>
        <v>0.0239593190249902</v>
      </c>
      <c r="AA55" t="s" s="47">
        <f>AA50</f>
        <v>67</v>
      </c>
      <c r="AB55" s="19"/>
    </row>
    <row r="56" ht="32.05" customHeight="1">
      <c r="Q56" s="28"/>
      <c r="R56" t="s" s="46">
        <v>78</v>
      </c>
      <c r="S56" t="s" s="47">
        <f>U55</f>
        <v>88</v>
      </c>
      <c r="T56" t="s" s="47">
        <v>89</v>
      </c>
      <c r="U56" t="s" s="47">
        <f>IF(W56&gt;0,"raised","paid")</f>
        <v>73</v>
      </c>
      <c r="V56" t="s" s="47">
        <v>76</v>
      </c>
      <c r="W56" s="14">
        <f>AVERAGE(I35:I39)</f>
        <v>22.8</v>
      </c>
      <c r="X56" t="s" s="47">
        <f>X55</f>
        <v>72</v>
      </c>
      <c r="Y56" t="s" s="47">
        <v>77</v>
      </c>
      <c r="Z56" s="16">
        <f>W56/S48</f>
        <v>0.00112975142789834</v>
      </c>
      <c r="AA56" t="s" s="47">
        <f>AA51</f>
        <v>67</v>
      </c>
      <c r="AB56" s="19"/>
    </row>
    <row r="57" ht="44.05" customHeight="1">
      <c r="Q57" s="28"/>
      <c r="R57" t="s" s="46">
        <v>90</v>
      </c>
      <c r="S57" t="s" s="47">
        <v>81</v>
      </c>
      <c r="T57" s="14">
        <f>MAX(L25:L39)</f>
        <v>7579</v>
      </c>
      <c r="U57" t="s" s="47">
        <f>X56</f>
        <v>72</v>
      </c>
      <c r="V57" t="s" s="47">
        <v>82</v>
      </c>
      <c r="W57" s="33">
        <f>$G38</f>
        <v>2020</v>
      </c>
      <c r="X57" s="19"/>
      <c r="Y57" s="19"/>
      <c r="Z57" s="19"/>
      <c r="AA57" s="19"/>
      <c r="AB57" s="19"/>
    </row>
    <row r="58" ht="32.05" customHeight="1">
      <c r="Q58" s="28"/>
      <c r="R58" t="s" s="46">
        <v>83</v>
      </c>
      <c r="S58" t="s" s="47">
        <f>S56</f>
        <v>88</v>
      </c>
      <c r="T58" t="s" s="47">
        <v>84</v>
      </c>
      <c r="U58" t="s" s="47">
        <v>91</v>
      </c>
      <c r="V58" t="s" s="47">
        <f>IF(X58&lt;T57,"down","up")</f>
        <v>86</v>
      </c>
      <c r="W58" t="s" s="47">
        <v>87</v>
      </c>
      <c r="X58" s="14">
        <f>L39</f>
        <v>7253</v>
      </c>
      <c r="Y58" t="s" s="47">
        <f>X56</f>
        <v>72</v>
      </c>
      <c r="Z58" s="19"/>
      <c r="AA58" s="19"/>
      <c r="AB58" s="19"/>
    </row>
    <row r="59" ht="20.05" customHeight="1">
      <c r="Q59" s="28"/>
      <c r="R59" t="s" s="46">
        <v>92</v>
      </c>
      <c r="S59" s="14">
        <f>X63</f>
        <v>16552.5</v>
      </c>
      <c r="T59" t="s" s="47">
        <f>Y58</f>
        <v>72</v>
      </c>
      <c r="U59" t="s" s="47">
        <f>IF(S59&gt;0,"raised","paid")</f>
        <v>73</v>
      </c>
      <c r="V59" s="19"/>
      <c r="W59" s="19"/>
      <c r="X59" s="19"/>
      <c r="Y59" s="19"/>
      <c r="Z59" s="19"/>
      <c r="AA59" s="19"/>
      <c r="AB59" s="19"/>
    </row>
    <row r="60" ht="32.05" customHeight="1">
      <c r="Q60" s="28"/>
      <c r="R60" t="s" s="46">
        <f>R55</f>
        <v>56</v>
      </c>
      <c r="S60" t="s" s="47">
        <v>74</v>
      </c>
      <c r="T60" t="s" s="47">
        <f>IF(W60&gt;0,"raised","paid")</f>
        <v>73</v>
      </c>
      <c r="U60" t="s" s="47">
        <v>93</v>
      </c>
      <c r="V60" t="s" s="47">
        <f>V55</f>
        <v>76</v>
      </c>
      <c r="W60" s="14">
        <f>AVERAGE(J25:J39)</f>
        <v>1103.5</v>
      </c>
      <c r="X60" t="s" s="47">
        <f>X55</f>
        <v>72</v>
      </c>
      <c r="Y60" t="s" s="47">
        <f>Y55</f>
        <v>77</v>
      </c>
      <c r="Z60" s="16">
        <f>W60/S48</f>
        <v>0.0546789781002551</v>
      </c>
      <c r="AA60" t="s" s="47">
        <f>AA55</f>
        <v>67</v>
      </c>
      <c r="AB60" s="19"/>
    </row>
    <row r="61" ht="32.05" customHeight="1">
      <c r="Q61" s="28"/>
      <c r="R61" t="s" s="46">
        <v>78</v>
      </c>
      <c r="S61" t="s" s="47">
        <f>U60</f>
        <v>93</v>
      </c>
      <c r="T61" t="s" s="47">
        <v>89</v>
      </c>
      <c r="U61" t="s" s="47">
        <f>IF(W61&gt;0,"raised","paid")</f>
        <v>73</v>
      </c>
      <c r="V61" t="s" s="47">
        <v>76</v>
      </c>
      <c r="W61" s="14">
        <f>AVERAGE(J35:J39)</f>
        <v>775.3</v>
      </c>
      <c r="X61" t="s" s="47">
        <f>X60</f>
        <v>72</v>
      </c>
      <c r="Y61" t="s" s="47">
        <v>77</v>
      </c>
      <c r="Z61" s="16">
        <f>W61/S48</f>
        <v>0.0384165035986659</v>
      </c>
      <c r="AA61" t="s" s="47">
        <f>AA56</f>
        <v>67</v>
      </c>
      <c r="AB61" s="19"/>
    </row>
    <row r="62" ht="44.05" customHeight="1">
      <c r="Q62" s="28"/>
      <c r="R62" t="s" s="46">
        <v>94</v>
      </c>
      <c r="S62" t="s" s="47">
        <v>81</v>
      </c>
      <c r="T62" s="14">
        <f>MAX(M25:M39)</f>
        <v>22239</v>
      </c>
      <c r="U62" t="s" s="47">
        <f>X61</f>
        <v>72</v>
      </c>
      <c r="V62" t="s" s="47">
        <v>82</v>
      </c>
      <c r="W62" s="33">
        <f>$G38</f>
        <v>2020</v>
      </c>
      <c r="X62" s="19"/>
      <c r="Y62" s="19"/>
      <c r="Z62" s="19"/>
      <c r="AA62" s="19"/>
      <c r="AB62" s="19"/>
    </row>
    <row r="63" ht="32.05" customHeight="1">
      <c r="Q63" s="28"/>
      <c r="R63" t="s" s="46">
        <v>83</v>
      </c>
      <c r="S63" t="s" s="47">
        <f>S61</f>
        <v>93</v>
      </c>
      <c r="T63" t="s" s="47">
        <v>84</v>
      </c>
      <c r="U63" t="s" s="47">
        <v>91</v>
      </c>
      <c r="V63" t="s" s="47">
        <f>IF(X63&lt;T62,"down","up")</f>
        <v>86</v>
      </c>
      <c r="W63" t="s" s="47">
        <v>87</v>
      </c>
      <c r="X63" s="14">
        <f>M39</f>
        <v>16552.5</v>
      </c>
      <c r="Y63" t="s" s="47">
        <f>X61</f>
        <v>72</v>
      </c>
      <c r="Z63" s="16">
        <f>AVERAGE(J39)/S48</f>
        <v>-0.281768925208066</v>
      </c>
      <c r="AA63" t="s" s="47">
        <f>AA61</f>
        <v>67</v>
      </c>
      <c r="AB63" t="s" s="47">
        <v>68</v>
      </c>
    </row>
  </sheetData>
  <mergeCells count="3">
    <mergeCell ref="B2:F2"/>
    <mergeCell ref="G21:P21"/>
    <mergeCell ref="Q41:AB4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