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<sst xmlns="http://schemas.openxmlformats.org/spreadsheetml/2006/main" uniqueCount="57">
  <si>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</si>
  <si>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$m</t>
  </si>
  <si>
    <t>4Q 2023</t>
  </si>
  <si>
    <t xml:space="preserve">Cashflow </t>
  </si>
  <si>
    <t xml:space="preserve">Growth </t>
  </si>
  <si>
    <t>Sales</t>
  </si>
  <si>
    <t xml:space="preserve">Cost ratio </t>
  </si>
  <si>
    <t>Costs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</si>
  <si>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</si>
  <si>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</si>
  <si>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</si>
  <si>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</si>
  <si>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</si>
  <si>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</si>
  <si>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</si>
  <si>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</si>
  <si>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</si>
  <si>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</si>
  <si>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</si>
  <si>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</si>
  <si>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</si>
  <si>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</si>
  <si>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</si>
  <si>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</si>
  <si>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</si>
  <si>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</si>
  <si>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</si>
  <si>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</si>
  <si>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</si>
  <si>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</si>
  <si>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</si>
  <si>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</si>
  <si>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 xml:space="preserve">Yield </t>
  </si>
  <si>
    <t>Cashflow</t>
  </si>
  <si>
    <t xml:space="preserve">Payback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</si>
  <si>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</si>
  <si>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</si>
  <si>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</si>
  <si>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</si>
  <si>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</si>
  <si>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</si>
  <si>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 </t>
  </si>
  <si>
    <t xml:space="preserve">Forecast </t>
  </si>
  <si>
    <t>Other non-cash cost</t>
  </si>
  <si>
    <t>Profit</t>
  </si>
  <si>
    <t xml:space="preserve">Sales growth </t>
  </si>
  <si>
    <t>Receipts</t>
  </si>
  <si>
    <t>Liabilities</t>
  </si>
  <si>
    <t>Equity</t>
  </si>
  <si>
    <t xml:space="preserve">Free cashflow </t>
  </si>
  <si>
    <t>Cash</t>
  </si>
  <si>
    <t>Assets</t>
  </si>
  <si>
    <t>Check</t>
  </si>
  <si>
    <t xml:space="preserve">Net cash </t>
  </si>
  <si>
    <t>Share price</t>
  </si>
  <si>
    <t>BRMS</t>
  </si>
  <si>
    <t>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</si>
</sst>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399776</xdr:colOff>
      <xdr:row>1</xdr:row>
      <xdr:rowOff>340103</xdr:rowOff>
    </xdr:from>
    <xdr:to>
      <xdr:col>13</xdr:col>
      <xdr:colOff>598244</xdr:colOff>
      <xdr:row>48</xdr:row>
      <xdr:rowOff>231659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247876" y="492503"/>
          <a:ext cx="8910669" cy="11961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AVERAGE('Sales'!H24:H27)</f>
        <v>0.57613064213027</v>
      </c>
      <c r="D4" s="8"/>
      <c r="E4" s="8"/>
      <c r="F4" s="9">
        <f>AVERAGE(C5:F5)</f>
        <v>0.145</v>
      </c>
    </row>
    <row r="5" ht="20.05" customHeight="1">
      <c r="B5" t="s" s="10">
        <v>4</v>
      </c>
      <c r="C5" s="11">
        <v>0.2</v>
      </c>
      <c r="D5" s="12">
        <v>0.2</v>
      </c>
      <c r="E5" s="12">
        <v>0.2</v>
      </c>
      <c r="F5" s="12">
        <v>-0.02</v>
      </c>
    </row>
    <row r="6" ht="20.05" customHeight="1">
      <c r="B6" t="s" s="10">
        <v>5</v>
      </c>
      <c r="C6" s="13">
        <f>'Sales'!C27*(1+C5)</f>
        <v>3.552</v>
      </c>
      <c r="D6" s="14">
        <f>C6*(1+D5)</f>
        <v>4.2624</v>
      </c>
      <c r="E6" s="14">
        <f>D6*(1+E5)</f>
        <v>5.11488</v>
      </c>
      <c r="F6" s="14">
        <f>E6*(1+F5)</f>
        <v>5.0125824</v>
      </c>
    </row>
    <row r="7" ht="20.05" customHeight="1">
      <c r="B7" t="s" s="10">
        <v>6</v>
      </c>
      <c r="C7" s="11">
        <f>AVERAGE('Sales'!I27)</f>
        <v>-0.384459459459459</v>
      </c>
      <c r="D7" s="12">
        <f>C7</f>
        <v>-0.384459459459459</v>
      </c>
      <c r="E7" s="12">
        <f>D7</f>
        <v>-0.384459459459459</v>
      </c>
      <c r="F7" s="12">
        <f>E7</f>
        <v>-0.384459459459459</v>
      </c>
    </row>
    <row r="8" ht="20.05" customHeight="1">
      <c r="B8" t="s" s="10">
        <v>7</v>
      </c>
      <c r="C8" s="13">
        <f>C6*C7</f>
        <v>-1.3656</v>
      </c>
      <c r="D8" s="14">
        <f>D6*D7</f>
        <v>-1.63872</v>
      </c>
      <c r="E8" s="14">
        <f>E6*E7</f>
        <v>-1.966464</v>
      </c>
      <c r="F8" s="14">
        <f>F6*F7</f>
        <v>-1.92713472</v>
      </c>
    </row>
    <row r="9" ht="20.05" customHeight="1">
      <c r="B9" t="s" s="10">
        <v>8</v>
      </c>
      <c r="C9" s="13">
        <f>C6+C8</f>
        <v>2.1864</v>
      </c>
      <c r="D9" s="14">
        <f>D6+D8</f>
        <v>2.62368</v>
      </c>
      <c r="E9" s="14">
        <f>E6+E8</f>
        <v>3.148416</v>
      </c>
      <c r="F9" s="14">
        <f>F6+F8</f>
        <v>3.08544768</v>
      </c>
    </row>
    <row r="10" ht="20.05" customHeight="1">
      <c r="B10" t="s" s="10">
        <v>9</v>
      </c>
      <c r="C10" s="13">
        <f>AVERAGE('Cashflow '!E22)</f>
        <v>0.4</v>
      </c>
      <c r="D10" s="14">
        <f>C10</f>
        <v>0.4</v>
      </c>
      <c r="E10" s="14">
        <f>D10</f>
        <v>0.4</v>
      </c>
      <c r="F10" s="14">
        <f>E10</f>
        <v>0.4</v>
      </c>
    </row>
    <row r="11" ht="20.05" customHeight="1">
      <c r="B11" t="s" s="10">
        <v>10</v>
      </c>
      <c r="C11" s="13">
        <f>C12+C15+C13</f>
        <v>-2.5864</v>
      </c>
      <c r="D11" s="14">
        <f>D12+D15+D13</f>
        <v>-3.02368</v>
      </c>
      <c r="E11" s="14">
        <f>E12+E15+E13</f>
        <v>-3.548416</v>
      </c>
      <c r="F11" s="14">
        <f>F12+F15+F13</f>
        <v>-3.48544768</v>
      </c>
    </row>
    <row r="12" ht="20.05" customHeight="1">
      <c r="B12" t="s" s="10">
        <v>11</v>
      </c>
      <c r="C12" s="13">
        <f>-'Balance sheet'!G28/20</f>
        <v>-5</v>
      </c>
      <c r="D12" s="14">
        <f>-C27/20</f>
        <v>-4.75</v>
      </c>
      <c r="E12" s="14">
        <f>-D27/20</f>
        <v>-4.5125</v>
      </c>
      <c r="F12" s="14">
        <f>-E27/20</f>
        <v>-4.286875</v>
      </c>
    </row>
    <row r="13" ht="20.05" customHeight="1">
      <c r="B13" t="s" s="10">
        <v>12</v>
      </c>
      <c r="C13" s="13">
        <f>-MIN(0,C16)</f>
        <v>2.4136</v>
      </c>
      <c r="D13" s="14">
        <f>-MIN(C28,D16)</f>
        <v>1.72632</v>
      </c>
      <c r="E13" s="14">
        <f>-MIN(D28,E16)</f>
        <v>0.9640840000000001</v>
      </c>
      <c r="F13" s="14">
        <f>-MIN(E28,F16)</f>
        <v>0.8014273200000001</v>
      </c>
    </row>
    <row r="14" ht="20.05" customHeight="1">
      <c r="B14" t="s" s="10">
        <v>13</v>
      </c>
      <c r="C14" s="15">
        <v>0</v>
      </c>
      <c r="D14" s="14"/>
      <c r="E14" s="14"/>
      <c r="F14" s="14"/>
    </row>
    <row r="15" ht="20.05" customHeight="1">
      <c r="B15" t="s" s="10">
        <v>14</v>
      </c>
      <c r="C15" s="13">
        <f>IF(C22&gt;0,-C22*$C$14,0)</f>
        <v>0</v>
      </c>
      <c r="D15" s="14">
        <f>IF(D22&gt;0,-D22*$C$14,0)</f>
        <v>0</v>
      </c>
      <c r="E15" s="14">
        <f>IF(E22&gt;0,-E22*$C$14,0)</f>
        <v>0</v>
      </c>
      <c r="F15" s="14">
        <f>IF(F22&gt;0,-F22*$C$14,0)</f>
        <v>0</v>
      </c>
    </row>
    <row r="16" ht="20.05" customHeight="1">
      <c r="B16" t="s" s="10">
        <v>15</v>
      </c>
      <c r="C16" s="13">
        <f>C9+C10+C12+C15</f>
        <v>-2.4136</v>
      </c>
      <c r="D16" s="14">
        <f>D9+D10+D12+D15</f>
        <v>-1.72632</v>
      </c>
      <c r="E16" s="14">
        <f>E9+E10+E12+E15</f>
        <v>-0.9640840000000001</v>
      </c>
      <c r="F16" s="14">
        <f>F9+F10+F12+F15</f>
        <v>-0.8014273200000001</v>
      </c>
    </row>
    <row r="17" ht="20.05" customHeight="1">
      <c r="B17" t="s" s="10">
        <v>16</v>
      </c>
      <c r="C17" s="13">
        <f>'Balance sheet'!C28</f>
        <v>55</v>
      </c>
      <c r="D17" s="14">
        <f>C19</f>
        <v>55</v>
      </c>
      <c r="E17" s="14">
        <f>D19</f>
        <v>55</v>
      </c>
      <c r="F17" s="14">
        <f>E19</f>
        <v>55</v>
      </c>
    </row>
    <row r="18" ht="20.05" customHeight="1">
      <c r="B18" t="s" s="10">
        <v>17</v>
      </c>
      <c r="C18" s="13">
        <f>C9+C10+C11</f>
        <v>0</v>
      </c>
      <c r="D18" s="14">
        <f>D9+D10+D11</f>
        <v>0</v>
      </c>
      <c r="E18" s="14">
        <f>E9+E10+E11</f>
        <v>0</v>
      </c>
      <c r="F18" s="14">
        <f>F9+F10+F11</f>
        <v>0</v>
      </c>
    </row>
    <row r="19" ht="20.05" customHeight="1">
      <c r="B19" t="s" s="10">
        <v>18</v>
      </c>
      <c r="C19" s="13">
        <f>C17+C18</f>
        <v>55</v>
      </c>
      <c r="D19" s="14">
        <f>D17+D18</f>
        <v>55</v>
      </c>
      <c r="E19" s="14">
        <f>E17+E18</f>
        <v>55</v>
      </c>
      <c r="F19" s="14">
        <f>F17+F18</f>
        <v>55</v>
      </c>
    </row>
    <row r="20" ht="20.05" customHeight="1">
      <c r="B20" t="s" s="16">
        <v>19</v>
      </c>
      <c r="C20" s="13"/>
      <c r="D20" s="14"/>
      <c r="E20" s="14"/>
      <c r="F20" s="14"/>
    </row>
    <row r="21" ht="20.05" customHeight="1">
      <c r="B21" t="s" s="10">
        <v>20</v>
      </c>
      <c r="C21" s="13">
        <f>-AVERAGE('Sales'!E27)</f>
        <v>-0.264</v>
      </c>
      <c r="D21" s="14">
        <f>C21</f>
        <v>-0.264</v>
      </c>
      <c r="E21" s="14">
        <f>D21</f>
        <v>-0.264</v>
      </c>
      <c r="F21" s="14">
        <f>E21</f>
        <v>-0.264</v>
      </c>
    </row>
    <row r="22" ht="20.05" customHeight="1">
      <c r="B22" t="s" s="10">
        <v>19</v>
      </c>
      <c r="C22" s="13">
        <f>C6+C8+C21</f>
        <v>1.9224</v>
      </c>
      <c r="D22" s="14">
        <f>D6+D8+D21</f>
        <v>2.35968</v>
      </c>
      <c r="E22" s="14">
        <f>E6+E8+E21</f>
        <v>2.884416</v>
      </c>
      <c r="F22" s="14">
        <f>F6+F8+F21</f>
        <v>2.82144768</v>
      </c>
    </row>
    <row r="23" ht="20.05" customHeight="1">
      <c r="B23" t="s" s="16">
        <v>21</v>
      </c>
      <c r="C23" s="13"/>
      <c r="D23" s="14"/>
      <c r="E23" s="14"/>
      <c r="F23" s="14"/>
    </row>
    <row r="24" ht="20.05" customHeight="1">
      <c r="B24" t="s" s="10">
        <v>22</v>
      </c>
      <c r="C24" s="13">
        <f>'Balance sheet'!E28+'Balance sheet'!F28-C10</f>
        <v>995.864</v>
      </c>
      <c r="D24" s="14">
        <f>C24-D10</f>
        <v>995.4640000000001</v>
      </c>
      <c r="E24" s="14">
        <f>D24-E10</f>
        <v>995.064</v>
      </c>
      <c r="F24" s="14">
        <f>E24-F10</f>
        <v>994.664</v>
      </c>
    </row>
    <row r="25" ht="20.05" customHeight="1">
      <c r="B25" t="s" s="10">
        <v>23</v>
      </c>
      <c r="C25" s="13">
        <f>'Balance sheet'!F28-C21</f>
        <v>9.528</v>
      </c>
      <c r="D25" s="14">
        <f>C25-D21</f>
        <v>9.792</v>
      </c>
      <c r="E25" s="14">
        <f>D25-E21</f>
        <v>10.056</v>
      </c>
      <c r="F25" s="14">
        <f>E25-F21</f>
        <v>10.32</v>
      </c>
    </row>
    <row r="26" ht="20.05" customHeight="1">
      <c r="B26" t="s" s="10">
        <v>24</v>
      </c>
      <c r="C26" s="13">
        <f>C24-C25</f>
        <v>986.336</v>
      </c>
      <c r="D26" s="14">
        <f>D24-D25</f>
        <v>985.672</v>
      </c>
      <c r="E26" s="14">
        <f>E24-E25</f>
        <v>985.008</v>
      </c>
      <c r="F26" s="14">
        <f>F24-F25</f>
        <v>984.3440000000001</v>
      </c>
    </row>
    <row r="27" ht="20.05" customHeight="1">
      <c r="B27" t="s" s="10">
        <v>11</v>
      </c>
      <c r="C27" s="13">
        <f>'Balance sheet'!G28+C12</f>
        <v>95</v>
      </c>
      <c r="D27" s="14">
        <f>C27+D12</f>
        <v>90.25</v>
      </c>
      <c r="E27" s="14">
        <f>D27+E12</f>
        <v>85.7375</v>
      </c>
      <c r="F27" s="14">
        <f>E27+F12</f>
        <v>81.450625</v>
      </c>
    </row>
    <row r="28" ht="20.05" customHeight="1">
      <c r="B28" t="s" s="10">
        <v>12</v>
      </c>
      <c r="C28" s="13">
        <f>C13</f>
        <v>2.4136</v>
      </c>
      <c r="D28" s="14">
        <f>C28+D13</f>
        <v>4.13992</v>
      </c>
      <c r="E28" s="14">
        <f>D28+E13</f>
        <v>5.104004</v>
      </c>
      <c r="F28" s="14">
        <f>E28+F13</f>
        <v>5.90543132</v>
      </c>
    </row>
    <row r="29" ht="20.05" customHeight="1">
      <c r="B29" t="s" s="10">
        <v>14</v>
      </c>
      <c r="C29" s="13">
        <f>'Balance sheet'!H28+C22+C15</f>
        <v>943.9224</v>
      </c>
      <c r="D29" s="14">
        <f>C29+D22+D15</f>
        <v>946.28208</v>
      </c>
      <c r="E29" s="14">
        <f>D29+E22+E15</f>
        <v>949.1664960000001</v>
      </c>
      <c r="F29" s="14">
        <f>E29+F22+F15</f>
        <v>951.9879436799999</v>
      </c>
    </row>
    <row r="30" ht="20.05" customHeight="1">
      <c r="B30" t="s" s="10">
        <v>25</v>
      </c>
      <c r="C30" s="13">
        <f>C27+C28+C29-C19-C26</f>
        <v>0</v>
      </c>
      <c r="D30" s="14">
        <f>D27+D28+D29-D19-D26</f>
        <v>0</v>
      </c>
      <c r="E30" s="14">
        <f>E27+E28+E29-E19-E26</f>
        <v>0</v>
      </c>
      <c r="F30" s="14">
        <f>F27+F28+F29-F19-F26</f>
        <v>0</v>
      </c>
    </row>
    <row r="31" ht="20.05" customHeight="1">
      <c r="B31" t="s" s="10">
        <v>26</v>
      </c>
      <c r="C31" s="13">
        <f>C19-C27-C28</f>
        <v>-42.4136</v>
      </c>
      <c r="D31" s="14">
        <f>D19-D27-D28</f>
        <v>-39.38992</v>
      </c>
      <c r="E31" s="14">
        <f>E19-E27-E28</f>
        <v>-35.841504</v>
      </c>
      <c r="F31" s="14">
        <f>F19-F27-F28</f>
        <v>-32.35605632</v>
      </c>
    </row>
    <row r="32" ht="20.05" customHeight="1">
      <c r="B32" t="s" s="16">
        <v>27</v>
      </c>
      <c r="C32" s="13"/>
      <c r="D32" s="14"/>
      <c r="E32" s="14"/>
      <c r="F32" s="14"/>
    </row>
    <row r="33" ht="20.05" customHeight="1">
      <c r="B33" t="s" s="10">
        <v>28</v>
      </c>
      <c r="C33" s="13"/>
      <c r="D33" s="14"/>
      <c r="E33" s="14"/>
      <c r="F33" s="14">
        <v>14</v>
      </c>
    </row>
    <row r="34" ht="20.05" customHeight="1">
      <c r="B34" t="s" s="10">
        <v>29</v>
      </c>
      <c r="C34" s="13">
        <f>'Cashflow '!L28-C11</f>
        <v>-237.6976</v>
      </c>
      <c r="D34" s="14">
        <f>C34-D11</f>
        <v>-234.67392</v>
      </c>
      <c r="E34" s="14">
        <f>D34-E11</f>
        <v>-231.125504</v>
      </c>
      <c r="F34" s="14">
        <f>E34-F11</f>
        <v>-227.64005632</v>
      </c>
    </row>
    <row r="35" ht="20.05" customHeight="1">
      <c r="B35" t="s" s="10">
        <v>30</v>
      </c>
      <c r="C35" s="13"/>
      <c r="D35" s="14"/>
      <c r="E35" s="14"/>
      <c r="F35" s="14">
        <v>39132386557952</v>
      </c>
    </row>
    <row r="36" ht="20.05" customHeight="1">
      <c r="B36" t="s" s="10">
        <v>30</v>
      </c>
      <c r="C36" s="13"/>
      <c r="D36" s="14"/>
      <c r="E36" s="14"/>
      <c r="F36" s="14">
        <f>(F35/1000000000)/F33</f>
        <v>2795.170468425140</v>
      </c>
    </row>
    <row r="37" ht="20.05" customHeight="1">
      <c r="B37" t="s" s="10">
        <v>31</v>
      </c>
      <c r="C37" s="13"/>
      <c r="D37" s="14"/>
      <c r="E37" s="14"/>
      <c r="F37" s="17">
        <f>F36/(F19+F26)</f>
        <v>2.68936027766085</v>
      </c>
    </row>
    <row r="38" ht="20.05" customHeight="1">
      <c r="B38" t="s" s="10">
        <v>32</v>
      </c>
      <c r="C38" s="13"/>
      <c r="D38" s="14"/>
      <c r="E38" s="14"/>
      <c r="F38" s="18">
        <f>(C15+D15+E15+F15)/F36</f>
        <v>0</v>
      </c>
    </row>
    <row r="39" ht="20.05" customHeight="1">
      <c r="B39" t="s" s="10">
        <v>33</v>
      </c>
      <c r="C39" s="13"/>
      <c r="D39" s="14"/>
      <c r="E39" s="14"/>
      <c r="F39" s="14">
        <f>SUM(C9:F10)</f>
        <v>12.64394368</v>
      </c>
    </row>
    <row r="40" ht="20.05" customHeight="1">
      <c r="B40" t="s" s="10">
        <v>34</v>
      </c>
      <c r="C40" s="13"/>
      <c r="D40" s="14"/>
      <c r="E40" s="14"/>
      <c r="F40" s="14">
        <f>'Balance sheet'!E28/F39</f>
        <v>78.06108797852541</v>
      </c>
    </row>
    <row r="41" ht="20.05" customHeight="1">
      <c r="B41" t="s" s="10">
        <v>27</v>
      </c>
      <c r="C41" s="13"/>
      <c r="D41" s="14"/>
      <c r="E41" s="14"/>
      <c r="F41" s="14">
        <f>F36/F39</f>
        <v>221.067930953101</v>
      </c>
    </row>
    <row r="42" ht="20.05" customHeight="1">
      <c r="B42" t="s" s="10">
        <v>27</v>
      </c>
      <c r="C42" s="13"/>
      <c r="D42" s="14"/>
      <c r="E42" s="14"/>
      <c r="F42" s="14">
        <v>100</v>
      </c>
    </row>
    <row r="43" ht="20.05" customHeight="1">
      <c r="B43" t="s" s="10">
        <v>35</v>
      </c>
      <c r="C43" s="13"/>
      <c r="D43" s="14"/>
      <c r="E43" s="14"/>
      <c r="F43" s="14">
        <f>F39*F42</f>
        <v>1264.394368</v>
      </c>
    </row>
    <row r="44" ht="20.05" customHeight="1">
      <c r="B44" t="s" s="10">
        <v>36</v>
      </c>
      <c r="C44" s="13"/>
      <c r="D44" s="14"/>
      <c r="E44" s="14"/>
      <c r="F44" s="14">
        <f>(F35/1000000000)/F46</f>
        <v>141.784009267942</v>
      </c>
    </row>
    <row r="45" ht="20.05" customHeight="1">
      <c r="B45" t="s" s="10">
        <v>37</v>
      </c>
      <c r="C45" s="13"/>
      <c r="D45" s="14"/>
      <c r="E45" s="14"/>
      <c r="F45" s="14">
        <f>(F43/F44)*F33</f>
        <v>124.848501910733</v>
      </c>
    </row>
    <row r="46" ht="20.05" customHeight="1">
      <c r="B46" t="s" s="10">
        <v>38</v>
      </c>
      <c r="C46" s="13"/>
      <c r="D46" s="14"/>
      <c r="E46" s="14"/>
      <c r="F46" s="14">
        <f>'Share price '!C21</f>
        <v>276</v>
      </c>
    </row>
    <row r="47" ht="20.05" customHeight="1">
      <c r="B47" t="s" s="10">
        <v>39</v>
      </c>
      <c r="C47" s="13"/>
      <c r="D47" s="14"/>
      <c r="E47" s="14"/>
      <c r="F47" s="18">
        <f>F45/F46-1</f>
        <v>-0.547650355395895</v>
      </c>
    </row>
    <row r="48" ht="20.05" customHeight="1">
      <c r="B48" t="s" s="10">
        <v>40</v>
      </c>
      <c r="C48" s="13"/>
      <c r="D48" s="14"/>
      <c r="E48" s="14"/>
      <c r="F48" s="18">
        <f>'Sales'!C27/'Sales'!C23-1</f>
        <v>1.17647058823529</v>
      </c>
    </row>
    <row r="49" ht="20.05" customHeight="1">
      <c r="B49" t="s" s="10">
        <v>41</v>
      </c>
      <c r="C49" s="13"/>
      <c r="D49" s="14"/>
      <c r="E49" s="14"/>
      <c r="F49" s="18">
        <f>'Sales'!F30/'Sales'!E30-1</f>
        <v>0.371268656716418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19" customWidth="1"/>
    <col min="2" max="11" width="11.4531" style="19" customWidth="1"/>
    <col min="12" max="16384" width="16.3516" style="19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</v>
      </c>
      <c r="D2" t="s" s="5">
        <v>42</v>
      </c>
      <c r="E2" t="s" s="5">
        <v>23</v>
      </c>
      <c r="F2" t="s" s="5">
        <v>43</v>
      </c>
      <c r="G2" t="s" s="5">
        <v>44</v>
      </c>
      <c r="H2" t="s" s="5">
        <v>45</v>
      </c>
      <c r="I2" t="s" s="5">
        <v>6</v>
      </c>
      <c r="J2" t="s" s="5">
        <v>6</v>
      </c>
      <c r="K2" t="s" s="5">
        <v>42</v>
      </c>
    </row>
    <row r="3" ht="20.25" customHeight="1">
      <c r="B3" s="20">
        <v>2016</v>
      </c>
      <c r="C3" s="21">
        <v>1.2</v>
      </c>
      <c r="D3" s="22"/>
      <c r="E3" s="22">
        <v>0.2</v>
      </c>
      <c r="F3" s="23">
        <v>0.2</v>
      </c>
      <c r="G3" s="23">
        <v>-10.2</v>
      </c>
      <c r="H3" s="24"/>
      <c r="I3" s="25"/>
      <c r="J3" s="9"/>
      <c r="K3" s="9"/>
    </row>
    <row r="4" ht="20.05" customHeight="1">
      <c r="B4" s="26"/>
      <c r="C4" s="27">
        <v>1</v>
      </c>
      <c r="D4" s="28"/>
      <c r="E4" s="28">
        <v>0.2</v>
      </c>
      <c r="F4" s="14">
        <v>-0.4</v>
      </c>
      <c r="G4" s="14">
        <v>-205</v>
      </c>
      <c r="H4" s="29"/>
      <c r="I4" s="18"/>
      <c r="J4" s="12"/>
      <c r="K4" s="12"/>
    </row>
    <row r="5" ht="20.05" customHeight="1">
      <c r="B5" s="26"/>
      <c r="C5" s="27">
        <v>0</v>
      </c>
      <c r="D5" s="28"/>
      <c r="E5" s="28">
        <v>0.2</v>
      </c>
      <c r="F5" s="14">
        <v>-5.4</v>
      </c>
      <c r="G5" s="14">
        <v>-311.1</v>
      </c>
      <c r="H5" s="29"/>
      <c r="I5" s="29"/>
      <c r="J5" s="12"/>
      <c r="K5" s="12"/>
    </row>
    <row r="6" ht="20.05" customHeight="1">
      <c r="B6" s="26"/>
      <c r="C6" s="27">
        <v>0</v>
      </c>
      <c r="D6" s="28"/>
      <c r="E6" s="28">
        <v>0.1</v>
      </c>
      <c r="F6" s="14">
        <v>8.6</v>
      </c>
      <c r="G6" s="14">
        <v>67.3</v>
      </c>
      <c r="H6" s="29"/>
      <c r="I6" s="29"/>
      <c r="J6" s="12"/>
      <c r="K6" s="12"/>
    </row>
    <row r="7" ht="20.05" customHeight="1">
      <c r="B7" s="30">
        <v>2017</v>
      </c>
      <c r="C7" s="27">
        <v>5</v>
      </c>
      <c r="D7" s="28"/>
      <c r="E7" s="28">
        <v>0.2</v>
      </c>
      <c r="F7" s="14">
        <v>0.02</v>
      </c>
      <c r="G7" s="14">
        <v>-6.9</v>
      </c>
      <c r="H7" s="29"/>
      <c r="I7" s="18"/>
      <c r="J7" s="12"/>
      <c r="K7" s="12"/>
    </row>
    <row r="8" ht="20.05" customHeight="1">
      <c r="B8" s="26"/>
      <c r="C8" s="27">
        <v>0</v>
      </c>
      <c r="D8" s="28"/>
      <c r="E8" s="28">
        <v>0.1</v>
      </c>
      <c r="F8" s="14">
        <v>0.1</v>
      </c>
      <c r="G8" s="14">
        <v>-98.5</v>
      </c>
      <c r="H8" s="29"/>
      <c r="I8" s="29"/>
      <c r="J8" s="12"/>
      <c r="K8" s="12"/>
    </row>
    <row r="9" ht="20.05" customHeight="1">
      <c r="B9" s="26"/>
      <c r="C9" s="27">
        <v>0</v>
      </c>
      <c r="D9" s="28"/>
      <c r="E9" s="28">
        <v>0.2</v>
      </c>
      <c r="F9" s="14">
        <v>0.18</v>
      </c>
      <c r="G9" s="14">
        <v>-4.4</v>
      </c>
      <c r="H9" s="29"/>
      <c r="I9" s="29"/>
      <c r="J9" s="12"/>
      <c r="K9" s="12"/>
    </row>
    <row r="10" ht="20.05" customHeight="1">
      <c r="B10" s="26"/>
      <c r="C10" s="27">
        <v>0</v>
      </c>
      <c r="D10" s="28"/>
      <c r="E10" s="28">
        <v>1</v>
      </c>
      <c r="F10" s="14">
        <v>0</v>
      </c>
      <c r="G10" s="14">
        <v>-137.8</v>
      </c>
      <c r="H10" s="29"/>
      <c r="I10" s="29"/>
      <c r="J10" s="12"/>
      <c r="K10" s="12"/>
    </row>
    <row r="11" ht="20.05" customHeight="1">
      <c r="B11" s="30">
        <v>2018</v>
      </c>
      <c r="C11" s="27">
        <v>0.8</v>
      </c>
      <c r="D11" s="28"/>
      <c r="E11" s="28">
        <v>0.2</v>
      </c>
      <c r="F11" s="14">
        <v>-0.01</v>
      </c>
      <c r="G11" s="14">
        <v>-4.7</v>
      </c>
      <c r="H11" s="29"/>
      <c r="I11" s="18"/>
      <c r="J11" s="12"/>
      <c r="K11" s="12"/>
    </row>
    <row r="12" ht="20.05" customHeight="1">
      <c r="B12" s="26"/>
      <c r="C12" s="27">
        <v>0</v>
      </c>
      <c r="D12" s="28"/>
      <c r="E12" s="28">
        <v>0.2</v>
      </c>
      <c r="F12" s="14">
        <v>-0.19</v>
      </c>
      <c r="G12" s="14">
        <v>-5.4</v>
      </c>
      <c r="H12" s="29"/>
      <c r="I12" s="29"/>
      <c r="J12" s="12"/>
      <c r="K12" s="12"/>
    </row>
    <row r="13" ht="20.05" customHeight="1">
      <c r="B13" s="26"/>
      <c r="C13" s="27">
        <v>0.4</v>
      </c>
      <c r="D13" s="28"/>
      <c r="E13" s="28">
        <v>0</v>
      </c>
      <c r="F13" s="14">
        <v>-0.1</v>
      </c>
      <c r="G13" s="14">
        <v>-83.8</v>
      </c>
      <c r="H13" s="29"/>
      <c r="I13" s="18"/>
      <c r="J13" s="12"/>
      <c r="K13" s="12"/>
    </row>
    <row r="14" ht="20.05" customHeight="1">
      <c r="B14" s="26"/>
      <c r="C14" s="27">
        <v>0</v>
      </c>
      <c r="D14" s="28"/>
      <c r="E14" s="28">
        <v>0.3</v>
      </c>
      <c r="F14" s="14">
        <v>0</v>
      </c>
      <c r="G14" s="14">
        <v>-9.5</v>
      </c>
      <c r="H14" s="29"/>
      <c r="I14" s="29"/>
      <c r="J14" s="12"/>
      <c r="K14" s="12"/>
    </row>
    <row r="15" ht="20.05" customHeight="1">
      <c r="B15" s="30">
        <v>2019</v>
      </c>
      <c r="C15" s="27">
        <v>1.26</v>
      </c>
      <c r="D15" s="28"/>
      <c r="E15" s="28">
        <v>0.18</v>
      </c>
      <c r="F15" s="14">
        <v>0.13</v>
      </c>
      <c r="G15" s="14">
        <v>0.08</v>
      </c>
      <c r="H15" s="29"/>
      <c r="I15" s="18"/>
      <c r="J15" s="12"/>
      <c r="K15" s="12"/>
    </row>
    <row r="16" ht="20.05" customHeight="1">
      <c r="B16" s="26"/>
      <c r="C16" s="27">
        <v>1.7</v>
      </c>
      <c r="D16" s="28"/>
      <c r="E16" s="28">
        <v>0.18</v>
      </c>
      <c r="F16" s="14">
        <v>0.02</v>
      </c>
      <c r="G16" s="14">
        <v>0.87</v>
      </c>
      <c r="H16" s="12">
        <f>C16/C15-1</f>
        <v>0.349206349206349</v>
      </c>
      <c r="I16" s="18"/>
      <c r="J16" s="12"/>
      <c r="K16" s="12"/>
    </row>
    <row r="17" ht="20.05" customHeight="1">
      <c r="B17" s="26"/>
      <c r="C17" s="27">
        <v>0.54</v>
      </c>
      <c r="D17" s="28"/>
      <c r="E17" s="28">
        <v>0</v>
      </c>
      <c r="F17" s="14">
        <v>-0.05</v>
      </c>
      <c r="G17" s="14">
        <v>0.05</v>
      </c>
      <c r="H17" s="12">
        <f>C17/C16-1</f>
        <v>-0.6823529411764711</v>
      </c>
      <c r="I17" s="18"/>
      <c r="J17" s="12"/>
      <c r="K17" s="12"/>
    </row>
    <row r="18" ht="20.05" customHeight="1">
      <c r="B18" s="26"/>
      <c r="C18" s="27">
        <v>1</v>
      </c>
      <c r="D18" s="28"/>
      <c r="E18" s="28">
        <v>0.4</v>
      </c>
      <c r="F18" s="14">
        <v>-0.2</v>
      </c>
      <c r="G18" s="14">
        <v>0.3</v>
      </c>
      <c r="H18" s="12">
        <f>C18/C17-1</f>
        <v>0.851851851851852</v>
      </c>
      <c r="I18" s="18"/>
      <c r="J18" s="12"/>
      <c r="K18" s="12"/>
    </row>
    <row r="19" ht="20.05" customHeight="1">
      <c r="B19" s="30">
        <v>2020</v>
      </c>
      <c r="C19" s="27">
        <v>0.99</v>
      </c>
      <c r="D19" s="28"/>
      <c r="E19" s="28">
        <v>0.91</v>
      </c>
      <c r="F19" s="14">
        <v>-0.42</v>
      </c>
      <c r="G19" s="14">
        <v>0.16</v>
      </c>
      <c r="H19" s="12">
        <f>C19/C18-1</f>
        <v>-0.01</v>
      </c>
      <c r="I19" s="18">
        <f>(G19+F19+E19-C19)/C19</f>
        <v>-0.343434343434343</v>
      </c>
      <c r="J19" s="12">
        <f>AVERAGE(I16:I19)</f>
        <v>-0.343434343434343</v>
      </c>
      <c r="K19" s="12"/>
    </row>
    <row r="20" ht="20.05" customHeight="1">
      <c r="B20" s="26"/>
      <c r="C20" s="27">
        <v>1.56</v>
      </c>
      <c r="D20" s="28"/>
      <c r="E20" s="14">
        <v>-0.46</v>
      </c>
      <c r="F20" s="14">
        <v>0.33</v>
      </c>
      <c r="G20" s="14">
        <v>0.8</v>
      </c>
      <c r="H20" s="12">
        <f>C20/C19-1</f>
        <v>0.575757575757576</v>
      </c>
      <c r="I20" s="18">
        <f>(G20+F20+E20-C20)/C20</f>
        <v>-0.570512820512821</v>
      </c>
      <c r="J20" s="12">
        <f>AVERAGE(I17:I20)</f>
        <v>-0.456973581973582</v>
      </c>
      <c r="K20" s="12"/>
    </row>
    <row r="21" ht="20.05" customHeight="1">
      <c r="B21" s="26"/>
      <c r="C21" s="27">
        <v>1.65</v>
      </c>
      <c r="D21" s="28"/>
      <c r="E21" s="28">
        <v>0.23</v>
      </c>
      <c r="F21" s="14">
        <v>0.29</v>
      </c>
      <c r="G21" s="14">
        <v>1.44</v>
      </c>
      <c r="H21" s="12">
        <f>C21/C20-1</f>
        <v>0.0576923076923077</v>
      </c>
      <c r="I21" s="18">
        <f>(G21+F21+E21-C21)/C21</f>
        <v>0.187878787878788</v>
      </c>
      <c r="J21" s="12">
        <f>AVERAGE(I18:I21)</f>
        <v>-0.242022792022792</v>
      </c>
      <c r="K21" s="12"/>
    </row>
    <row r="22" ht="20.05" customHeight="1">
      <c r="B22" s="26"/>
      <c r="C22" s="27">
        <v>4.1</v>
      </c>
      <c r="D22" s="28"/>
      <c r="E22" s="28">
        <v>0.23</v>
      </c>
      <c r="F22" s="14">
        <v>0.1</v>
      </c>
      <c r="G22" s="14">
        <v>1.6</v>
      </c>
      <c r="H22" s="12">
        <f>C22/C21-1</f>
        <v>1.48484848484848</v>
      </c>
      <c r="I22" s="18">
        <f>(G22+F22+E22-C22)/C22</f>
        <v>-0.529268292682927</v>
      </c>
      <c r="J22" s="12">
        <f>AVERAGE(I19:I22)</f>
        <v>-0.313834167187826</v>
      </c>
      <c r="K22" s="12"/>
    </row>
    <row r="23" ht="20.05" customHeight="1">
      <c r="B23" s="30">
        <v>2021</v>
      </c>
      <c r="C23" s="27">
        <v>1.36</v>
      </c>
      <c r="D23" s="28"/>
      <c r="E23" s="28">
        <v>0.23</v>
      </c>
      <c r="F23" s="14">
        <v>-0.12</v>
      </c>
      <c r="G23" s="14">
        <v>1.675</v>
      </c>
      <c r="H23" s="12">
        <f>C23/C22-1</f>
        <v>-0.668292682926829</v>
      </c>
      <c r="I23" s="18">
        <f>(G23+F23+E23-C23)/C23</f>
        <v>0.3125</v>
      </c>
      <c r="J23" s="12">
        <f>AVERAGE(I20:I22)</f>
        <v>-0.30396744177232</v>
      </c>
      <c r="K23" s="12"/>
    </row>
    <row r="24" ht="20.05" customHeight="1">
      <c r="B24" s="26"/>
      <c r="C24" s="27">
        <f>6.1-C23</f>
        <v>4.74</v>
      </c>
      <c r="D24" s="28"/>
      <c r="E24" s="28">
        <f>0.5-E23</f>
        <v>0.27</v>
      </c>
      <c r="F24" s="14">
        <f>-0.9-F23</f>
        <v>-0.78</v>
      </c>
      <c r="G24" s="14">
        <f>3.6-G23</f>
        <v>1.925</v>
      </c>
      <c r="H24" s="12">
        <f>C24/C23-1</f>
        <v>2.48529411764706</v>
      </c>
      <c r="I24" s="18">
        <f>(G24+F24+E24-C24)/C24</f>
        <v>-0.701476793248945</v>
      </c>
      <c r="J24" s="12">
        <f>AVERAGE(I22:I24)</f>
        <v>-0.306081695310624</v>
      </c>
      <c r="K24" s="12"/>
    </row>
    <row r="25" ht="20.05" customHeight="1">
      <c r="B25" s="26"/>
      <c r="C25" s="27">
        <f>8.2-SUM(C23:C24)</f>
        <v>2.1</v>
      </c>
      <c r="D25" s="28"/>
      <c r="E25" s="28">
        <f>0.7-SUM(E23:E24)</f>
        <v>0.2</v>
      </c>
      <c r="F25" s="14">
        <f>-1-SUM(F23:F24)</f>
        <v>-0.1</v>
      </c>
      <c r="G25" s="14">
        <f>6.2-SUM(G23:G24)</f>
        <v>2.6</v>
      </c>
      <c r="H25" s="12">
        <f>C25/C24-1</f>
        <v>-0.556962025316456</v>
      </c>
      <c r="I25" s="18">
        <f>(G25+F25+E25-C25)/C25</f>
        <v>0.285714285714286</v>
      </c>
      <c r="J25" s="12">
        <f>AVERAGE(I22:I24)</f>
        <v>-0.306081695310624</v>
      </c>
      <c r="K25" s="12"/>
    </row>
    <row r="26" ht="20.05" customHeight="1">
      <c r="B26" s="26"/>
      <c r="C26" s="27">
        <f>10.6-SUM(C23:C25)</f>
        <v>2.4</v>
      </c>
      <c r="D26" s="28">
        <v>3.675</v>
      </c>
      <c r="E26" s="28">
        <f>0.9-SUM(E23:E25)</f>
        <v>0.2</v>
      </c>
      <c r="F26" s="14">
        <f>-1.5-SUM(F23:F25)</f>
        <v>-0.5</v>
      </c>
      <c r="G26" s="14">
        <f>69.8-SUM(G23:G25)</f>
        <v>63.6</v>
      </c>
      <c r="H26" s="12">
        <f>C26/C25-1</f>
        <v>0.142857142857143</v>
      </c>
      <c r="I26" s="18">
        <f>(G26+F26+E26-C26)/C26</f>
        <v>25.375</v>
      </c>
      <c r="J26" s="12">
        <f>J25</f>
        <v>-0.306081695310624</v>
      </c>
      <c r="K26" s="12"/>
    </row>
    <row r="27" ht="20.05" customHeight="1">
      <c r="B27" s="30">
        <v>2022</v>
      </c>
      <c r="C27" s="27">
        <v>2.96</v>
      </c>
      <c r="D27" s="28">
        <v>3.675</v>
      </c>
      <c r="E27" s="28">
        <v>0.264</v>
      </c>
      <c r="F27" s="14">
        <v>-0.35</v>
      </c>
      <c r="G27" s="14">
        <v>1.908</v>
      </c>
      <c r="H27" s="12">
        <f>C27/C26-1</f>
        <v>0.233333333333333</v>
      </c>
      <c r="I27" s="18">
        <f>(G27+F27+E27-C27)/C27</f>
        <v>-0.384459459459459</v>
      </c>
      <c r="J27" s="12">
        <f>I27</f>
        <v>-0.384459459459459</v>
      </c>
      <c r="K27" s="12">
        <v>-0.384459459459459</v>
      </c>
    </row>
    <row r="28" ht="20.05" customHeight="1">
      <c r="B28" s="26"/>
      <c r="C28" s="27"/>
      <c r="D28" s="28">
        <f>'Model'!C6</f>
        <v>3.552</v>
      </c>
      <c r="E28" s="28"/>
      <c r="F28" s="14"/>
      <c r="G28" s="14"/>
      <c r="H28" s="31"/>
      <c r="I28" s="29"/>
      <c r="J28" s="12"/>
      <c r="K28" s="12">
        <f>'Model'!C7</f>
        <v>-0.384459459459459</v>
      </c>
    </row>
    <row r="29" ht="20.05" customHeight="1">
      <c r="B29" s="26"/>
      <c r="C29" s="27"/>
      <c r="D29" s="28">
        <f>'Model'!D6</f>
        <v>4.2624</v>
      </c>
      <c r="E29" s="28"/>
      <c r="F29" s="14"/>
      <c r="G29" s="14"/>
      <c r="H29" s="31"/>
      <c r="I29" s="12"/>
      <c r="J29" s="12"/>
      <c r="K29" s="12"/>
    </row>
    <row r="30" ht="20.05" customHeight="1">
      <c r="B30" s="26"/>
      <c r="C30" s="27"/>
      <c r="D30" s="28">
        <f>'Model'!E6</f>
        <v>5.11488</v>
      </c>
      <c r="E30" s="28">
        <f>SUM(C26:C27)</f>
        <v>5.36</v>
      </c>
      <c r="F30" s="28">
        <f>SUM(D26:D27)</f>
        <v>7.35</v>
      </c>
      <c r="G30" s="14"/>
      <c r="H30" s="31"/>
      <c r="I30" s="12"/>
      <c r="J30" s="12"/>
      <c r="K30" s="12"/>
    </row>
    <row r="31" ht="20.05" customHeight="1">
      <c r="B31" s="30">
        <v>2023</v>
      </c>
      <c r="C31" s="27"/>
      <c r="D31" s="28">
        <f>'Model'!F6</f>
        <v>5.0125824</v>
      </c>
      <c r="E31" s="28"/>
      <c r="F31" s="14"/>
      <c r="G31" s="14"/>
      <c r="H31" s="31"/>
      <c r="I31" s="12"/>
      <c r="J31" s="12"/>
      <c r="K31" s="12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2" customWidth="1"/>
    <col min="2" max="2" width="10.1484" style="32" customWidth="1"/>
    <col min="3" max="14" width="10.9844" style="32" customWidth="1"/>
    <col min="15" max="16384" width="16.3516" style="32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6.7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47</v>
      </c>
      <c r="G3" t="s" s="5">
        <v>48</v>
      </c>
      <c r="H3" t="s" s="5">
        <v>10</v>
      </c>
      <c r="I3" t="s" s="5">
        <v>49</v>
      </c>
      <c r="J3" t="s" s="5">
        <v>33</v>
      </c>
      <c r="K3" t="s" s="5">
        <v>42</v>
      </c>
      <c r="L3" t="s" s="5">
        <v>29</v>
      </c>
      <c r="M3" t="s" s="5">
        <v>42</v>
      </c>
      <c r="N3" s="33"/>
    </row>
    <row r="4" ht="21.4" customHeight="1">
      <c r="B4" s="20">
        <v>2016</v>
      </c>
      <c r="C4" s="34">
        <v>2.1</v>
      </c>
      <c r="D4" s="23">
        <v>-3.8</v>
      </c>
      <c r="E4" s="23">
        <v>1.4</v>
      </c>
      <c r="F4" s="23"/>
      <c r="G4" s="23"/>
      <c r="H4" s="23">
        <v>-0.02</v>
      </c>
      <c r="I4" s="8">
        <f>D4+E4</f>
        <v>-2.4</v>
      </c>
      <c r="J4" s="8"/>
      <c r="K4" s="23"/>
      <c r="L4" s="23">
        <f>-H4</f>
        <v>0.02</v>
      </c>
      <c r="M4" s="23"/>
      <c r="N4" s="23">
        <v>1</v>
      </c>
    </row>
    <row r="5" ht="21.2" customHeight="1">
      <c r="B5" s="26"/>
      <c r="C5" s="13">
        <v>0.9</v>
      </c>
      <c r="D5" s="14">
        <v>-2.2</v>
      </c>
      <c r="E5" s="14">
        <v>0.4</v>
      </c>
      <c r="F5" s="14"/>
      <c r="G5" s="14"/>
      <c r="H5" s="14">
        <v>-0.02</v>
      </c>
      <c r="I5" s="35">
        <f>D5+E5</f>
        <v>-1.8</v>
      </c>
      <c r="J5" s="35"/>
      <c r="K5" s="14"/>
      <c r="L5" s="14">
        <f>-H5+L4</f>
        <v>0.04</v>
      </c>
      <c r="M5" s="14"/>
      <c r="N5" s="14">
        <f>1+N4</f>
        <v>2</v>
      </c>
    </row>
    <row r="6" ht="21.2" customHeight="1">
      <c r="B6" s="26"/>
      <c r="C6" s="13">
        <v>0.1</v>
      </c>
      <c r="D6" s="14">
        <v>-2.3</v>
      </c>
      <c r="E6" s="14">
        <v>4.5</v>
      </c>
      <c r="F6" s="14"/>
      <c r="G6" s="14"/>
      <c r="H6" s="14">
        <v>-0.02</v>
      </c>
      <c r="I6" s="35">
        <f>D6+E6</f>
        <v>2.2</v>
      </c>
      <c r="J6" s="35"/>
      <c r="K6" s="14"/>
      <c r="L6" s="14">
        <f>-H6+L5</f>
        <v>0.06</v>
      </c>
      <c r="M6" s="14"/>
      <c r="N6" s="14">
        <f>1+N5</f>
        <v>3</v>
      </c>
    </row>
    <row r="7" ht="21.2" customHeight="1">
      <c r="B7" s="26"/>
      <c r="C7" s="13">
        <v>0</v>
      </c>
      <c r="D7" s="14">
        <v>-4.6</v>
      </c>
      <c r="E7" s="14">
        <v>2.2</v>
      </c>
      <c r="F7" s="14"/>
      <c r="G7" s="14"/>
      <c r="H7" s="14">
        <v>-0.02</v>
      </c>
      <c r="I7" s="35">
        <f>D7+E7</f>
        <v>-2.4</v>
      </c>
      <c r="J7" s="35"/>
      <c r="K7" s="14"/>
      <c r="L7" s="14">
        <f>-H7+L6</f>
        <v>0.08</v>
      </c>
      <c r="M7" s="14"/>
      <c r="N7" s="14">
        <f>1+N6</f>
        <v>4</v>
      </c>
    </row>
    <row r="8" ht="21.2" customHeight="1">
      <c r="B8" s="30">
        <v>2017</v>
      </c>
      <c r="C8" s="13">
        <v>15</v>
      </c>
      <c r="D8" s="14">
        <v>9.4</v>
      </c>
      <c r="E8" s="14">
        <v>-4.1</v>
      </c>
      <c r="F8" s="14"/>
      <c r="G8" s="14"/>
      <c r="H8" s="14">
        <v>-0.02</v>
      </c>
      <c r="I8" s="35">
        <f>D8+E8</f>
        <v>5.3</v>
      </c>
      <c r="J8" s="35">
        <f>AVERAGE(I5:I8)</f>
        <v>0.825</v>
      </c>
      <c r="K8" s="14"/>
      <c r="L8" s="14">
        <f>-H8+L7</f>
        <v>0.1</v>
      </c>
      <c r="M8" s="14"/>
      <c r="N8" s="14">
        <f>1+N7</f>
        <v>5</v>
      </c>
    </row>
    <row r="9" ht="21.2" customHeight="1">
      <c r="B9" s="26"/>
      <c r="C9" s="13">
        <v>-10</v>
      </c>
      <c r="D9" s="14">
        <v>-11.8</v>
      </c>
      <c r="E9" s="14">
        <v>12.1</v>
      </c>
      <c r="F9" s="14"/>
      <c r="G9" s="14"/>
      <c r="H9" s="14">
        <v>-0.02</v>
      </c>
      <c r="I9" s="35">
        <f>D9+E9</f>
        <v>0.3</v>
      </c>
      <c r="J9" s="35">
        <f>AVERAGE(I6:I9)</f>
        <v>1.35</v>
      </c>
      <c r="K9" s="14"/>
      <c r="L9" s="14">
        <f>-H9+L8</f>
        <v>0.12</v>
      </c>
      <c r="M9" s="14"/>
      <c r="N9" s="14">
        <f>1+N8</f>
        <v>6</v>
      </c>
    </row>
    <row r="10" ht="21.2" customHeight="1">
      <c r="B10" s="26"/>
      <c r="C10" s="13">
        <v>0</v>
      </c>
      <c r="D10" s="14">
        <v>-4.1</v>
      </c>
      <c r="E10" s="14">
        <v>2.2</v>
      </c>
      <c r="F10" s="14"/>
      <c r="G10" s="14"/>
      <c r="H10" s="14">
        <v>-0.03</v>
      </c>
      <c r="I10" s="35">
        <f>D10+E10</f>
        <v>-1.9</v>
      </c>
      <c r="J10" s="35">
        <f>AVERAGE(I7:I10)</f>
        <v>0.325</v>
      </c>
      <c r="K10" s="14"/>
      <c r="L10" s="14">
        <f>-H10+L9</f>
        <v>0.15</v>
      </c>
      <c r="M10" s="14"/>
      <c r="N10" s="14">
        <f>1+N9</f>
        <v>7</v>
      </c>
    </row>
    <row r="11" ht="21.2" customHeight="1">
      <c r="B11" s="26"/>
      <c r="C11" s="13">
        <v>0</v>
      </c>
      <c r="D11" s="14">
        <v>-29.9</v>
      </c>
      <c r="E11" s="14">
        <v>28.9</v>
      </c>
      <c r="F11" s="14"/>
      <c r="G11" s="14"/>
      <c r="H11" s="14">
        <v>-0.02</v>
      </c>
      <c r="I11" s="35">
        <f>D11+E11</f>
        <v>-1</v>
      </c>
      <c r="J11" s="35">
        <f>AVERAGE(I8:I11)</f>
        <v>0.675</v>
      </c>
      <c r="K11" s="14"/>
      <c r="L11" s="14">
        <f>-H11+L10</f>
        <v>0.17</v>
      </c>
      <c r="M11" s="14"/>
      <c r="N11" s="14">
        <f>1+N10</f>
        <v>8</v>
      </c>
    </row>
    <row r="12" ht="21.2" customHeight="1">
      <c r="B12" s="30">
        <v>2018</v>
      </c>
      <c r="C12" s="13">
        <v>0.3</v>
      </c>
      <c r="D12" s="14">
        <v>-0.9</v>
      </c>
      <c r="E12" s="14">
        <v>-0.8</v>
      </c>
      <c r="F12" s="14"/>
      <c r="G12" s="14"/>
      <c r="H12" s="14">
        <v>-0.03</v>
      </c>
      <c r="I12" s="35">
        <f>D12+E12</f>
        <v>-1.7</v>
      </c>
      <c r="J12" s="35">
        <f>AVERAGE(I9:I12)</f>
        <v>-1.075</v>
      </c>
      <c r="K12" s="14"/>
      <c r="L12" s="14">
        <f>-H12+L11</f>
        <v>0.2</v>
      </c>
      <c r="M12" s="14"/>
      <c r="N12" s="14">
        <f>1+N11</f>
        <v>9</v>
      </c>
    </row>
    <row r="13" ht="21.2" customHeight="1">
      <c r="B13" s="26"/>
      <c r="C13" s="13">
        <v>0</v>
      </c>
      <c r="D13" s="14">
        <v>-1.5</v>
      </c>
      <c r="E13" s="14">
        <v>-1</v>
      </c>
      <c r="F13" s="14"/>
      <c r="G13" s="14"/>
      <c r="H13" s="14">
        <v>-0.02</v>
      </c>
      <c r="I13" s="35">
        <f>D13+E13</f>
        <v>-2.5</v>
      </c>
      <c r="J13" s="35">
        <f>AVERAGE(I10:I13)</f>
        <v>-1.775</v>
      </c>
      <c r="K13" s="14"/>
      <c r="L13" s="14">
        <f>-H13+L12</f>
        <v>0.22</v>
      </c>
      <c r="M13" s="14"/>
      <c r="N13" s="14">
        <f>1+N12</f>
        <v>10</v>
      </c>
    </row>
    <row r="14" ht="21.2" customHeight="1">
      <c r="B14" s="26"/>
      <c r="C14" s="13">
        <v>0.9</v>
      </c>
      <c r="D14" s="14">
        <v>0.1</v>
      </c>
      <c r="E14" s="14">
        <v>132.9</v>
      </c>
      <c r="F14" s="14"/>
      <c r="G14" s="14"/>
      <c r="H14" s="14">
        <v>-107.05</v>
      </c>
      <c r="I14" s="35">
        <f>D14+E14</f>
        <v>133</v>
      </c>
      <c r="J14" s="35">
        <f>AVERAGE(I11:I14)</f>
        <v>31.95</v>
      </c>
      <c r="K14" s="14"/>
      <c r="L14" s="14">
        <f>-H14+L13</f>
        <v>107.27</v>
      </c>
      <c r="M14" s="14"/>
      <c r="N14" s="14">
        <f>1+N13</f>
        <v>11</v>
      </c>
    </row>
    <row r="15" ht="21.2" customHeight="1">
      <c r="B15" s="26"/>
      <c r="C15" s="13">
        <v>0</v>
      </c>
      <c r="D15" s="14">
        <v>-17.6</v>
      </c>
      <c r="E15" s="14">
        <v>-1.1</v>
      </c>
      <c r="F15" s="14"/>
      <c r="G15" s="14"/>
      <c r="H15" s="14">
        <v>0</v>
      </c>
      <c r="I15" s="35">
        <f>D15+E15</f>
        <v>-18.7</v>
      </c>
      <c r="J15" s="35">
        <f>AVERAGE(I12:I15)</f>
        <v>27.525</v>
      </c>
      <c r="K15" s="14"/>
      <c r="L15" s="14">
        <f>-H15+L14</f>
        <v>107.27</v>
      </c>
      <c r="M15" s="14"/>
      <c r="N15" s="14">
        <f>1+N14</f>
        <v>12</v>
      </c>
    </row>
    <row r="16" ht="21.2" customHeight="1">
      <c r="B16" s="30">
        <v>2019</v>
      </c>
      <c r="C16" s="13">
        <v>1.3</v>
      </c>
      <c r="D16" s="14">
        <v>0.3</v>
      </c>
      <c r="E16" s="14">
        <v>0.9</v>
      </c>
      <c r="F16" s="14"/>
      <c r="G16" s="14"/>
      <c r="H16" s="14">
        <v>-0.04</v>
      </c>
      <c r="I16" s="35">
        <f>D16+E16</f>
        <v>1.2</v>
      </c>
      <c r="J16" s="35">
        <f>AVERAGE(I13:I16)</f>
        <v>28.25</v>
      </c>
      <c r="K16" s="14"/>
      <c r="L16" s="14">
        <f>-H16+L15</f>
        <v>107.31</v>
      </c>
      <c r="M16" s="14"/>
      <c r="N16" s="14">
        <f>1+N15</f>
        <v>13</v>
      </c>
    </row>
    <row r="17" ht="21.2" customHeight="1">
      <c r="B17" s="26"/>
      <c r="C17" s="13">
        <v>1.7</v>
      </c>
      <c r="D17" s="14">
        <v>0</v>
      </c>
      <c r="E17" s="14">
        <v>-4.7</v>
      </c>
      <c r="F17" s="14"/>
      <c r="G17" s="14"/>
      <c r="H17" s="14">
        <v>-0.06</v>
      </c>
      <c r="I17" s="35">
        <f>D17+E17</f>
        <v>-4.7</v>
      </c>
      <c r="J17" s="35">
        <f>AVERAGE(I14:I17)</f>
        <v>27.7</v>
      </c>
      <c r="K17" s="14"/>
      <c r="L17" s="14">
        <f>-H17+L16</f>
        <v>107.37</v>
      </c>
      <c r="M17" s="14"/>
      <c r="N17" s="14">
        <f>1+N16</f>
        <v>14</v>
      </c>
    </row>
    <row r="18" ht="21.2" customHeight="1">
      <c r="B18" s="26"/>
      <c r="C18" s="13">
        <v>0.5</v>
      </c>
      <c r="D18" s="14">
        <v>0</v>
      </c>
      <c r="E18" s="14">
        <v>-3.7</v>
      </c>
      <c r="F18" s="14"/>
      <c r="G18" s="14"/>
      <c r="H18" s="14">
        <v>0</v>
      </c>
      <c r="I18" s="35">
        <f>D18+E18</f>
        <v>-3.7</v>
      </c>
      <c r="J18" s="35">
        <f>AVERAGE(I15:I18)</f>
        <v>-6.475</v>
      </c>
      <c r="K18" s="14"/>
      <c r="L18" s="14">
        <f>-H18+L17</f>
        <v>107.37</v>
      </c>
      <c r="M18" s="14"/>
      <c r="N18" s="14">
        <f>1+N17</f>
        <v>15</v>
      </c>
    </row>
    <row r="19" ht="21.2" customHeight="1">
      <c r="B19" s="26"/>
      <c r="C19" s="13">
        <v>1</v>
      </c>
      <c r="D19" s="14">
        <v>2.5</v>
      </c>
      <c r="E19" s="14">
        <v>-2.6</v>
      </c>
      <c r="F19" s="14"/>
      <c r="G19" s="14"/>
      <c r="H19" s="14">
        <v>0</v>
      </c>
      <c r="I19" s="35">
        <f>D19+E19</f>
        <v>-0.1</v>
      </c>
      <c r="J19" s="35">
        <f>AVERAGE(I16:I19)</f>
        <v>-1.825</v>
      </c>
      <c r="K19" s="14"/>
      <c r="L19" s="14">
        <f>-H19+L18</f>
        <v>107.37</v>
      </c>
      <c r="M19" s="14"/>
      <c r="N19" s="14">
        <f>1+N18</f>
        <v>16</v>
      </c>
    </row>
    <row r="20" ht="21.2" customHeight="1">
      <c r="B20" s="30">
        <v>2020</v>
      </c>
      <c r="C20" s="13">
        <v>0.7</v>
      </c>
      <c r="D20" s="14">
        <v>0.35</v>
      </c>
      <c r="E20" s="14">
        <v>-0.78</v>
      </c>
      <c r="F20" s="14"/>
      <c r="G20" s="14"/>
      <c r="H20" s="14">
        <v>0</v>
      </c>
      <c r="I20" s="35">
        <f>D20+E20</f>
        <v>-0.43</v>
      </c>
      <c r="J20" s="35">
        <f>AVERAGE(I17:I20)</f>
        <v>-2.2325</v>
      </c>
      <c r="K20" s="14"/>
      <c r="L20" s="14">
        <f>-H20+L19</f>
        <v>107.37</v>
      </c>
      <c r="M20" s="14"/>
      <c r="N20" s="14">
        <f>1+N19</f>
        <v>17</v>
      </c>
    </row>
    <row r="21" ht="21.2" customHeight="1">
      <c r="B21" s="26"/>
      <c r="C21" s="13">
        <v>0.9</v>
      </c>
      <c r="D21" s="14">
        <v>-1.85</v>
      </c>
      <c r="E21" s="14">
        <v>-0.02</v>
      </c>
      <c r="F21" s="14"/>
      <c r="G21" s="14"/>
      <c r="H21" s="14">
        <v>4</v>
      </c>
      <c r="I21" s="35">
        <f>D21+E21</f>
        <v>-1.87</v>
      </c>
      <c r="J21" s="35">
        <f>AVERAGE(I18:I21)</f>
        <v>-1.525</v>
      </c>
      <c r="K21" s="14"/>
      <c r="L21" s="14">
        <f>-H21+L20</f>
        <v>103.37</v>
      </c>
      <c r="M21" s="14"/>
      <c r="N21" s="14">
        <f>1+N20</f>
        <v>18</v>
      </c>
    </row>
    <row r="22" ht="21.2" customHeight="1">
      <c r="B22" s="26"/>
      <c r="C22" s="13">
        <v>2.6</v>
      </c>
      <c r="D22" s="14">
        <v>3.5</v>
      </c>
      <c r="E22" s="14">
        <v>0.4</v>
      </c>
      <c r="F22" s="14"/>
      <c r="G22" s="14"/>
      <c r="H22" s="14">
        <v>-4</v>
      </c>
      <c r="I22" s="35">
        <f>D22+E22</f>
        <v>3.9</v>
      </c>
      <c r="J22" s="35">
        <f>AVERAGE(I19:I22)</f>
        <v>0.375</v>
      </c>
      <c r="K22" s="14"/>
      <c r="L22" s="14">
        <f>-H22+L21</f>
        <v>107.37</v>
      </c>
      <c r="M22" s="14"/>
      <c r="N22" s="14">
        <f>1+N21</f>
        <v>19</v>
      </c>
    </row>
    <row r="23" ht="21.2" customHeight="1">
      <c r="B23" s="26"/>
      <c r="C23" s="13">
        <v>3.6</v>
      </c>
      <c r="D23" s="14">
        <v>1.7</v>
      </c>
      <c r="E23" s="14">
        <v>-1.9</v>
      </c>
      <c r="F23" s="14">
        <v>0</v>
      </c>
      <c r="G23" s="14">
        <v>0</v>
      </c>
      <c r="H23" s="14">
        <v>0</v>
      </c>
      <c r="I23" s="35">
        <f>D23+E23</f>
        <v>-0.2</v>
      </c>
      <c r="J23" s="35">
        <f>AVERAGE(I20:I23)</f>
        <v>0.35</v>
      </c>
      <c r="K23" s="14"/>
      <c r="L23" s="14">
        <f>-H23+L22</f>
        <v>107.37</v>
      </c>
      <c r="M23" s="14"/>
      <c r="N23" s="14">
        <f>1+N22</f>
        <v>20</v>
      </c>
    </row>
    <row r="24" ht="21.2" customHeight="1">
      <c r="B24" s="30">
        <v>2021</v>
      </c>
      <c r="C24" s="13">
        <v>1.91</v>
      </c>
      <c r="D24" s="14">
        <v>0.6850000000000001</v>
      </c>
      <c r="E24" s="14">
        <v>-32.6</v>
      </c>
      <c r="F24" s="14">
        <v>0</v>
      </c>
      <c r="G24" s="14">
        <v>0</v>
      </c>
      <c r="H24" s="14">
        <v>30.1</v>
      </c>
      <c r="I24" s="35">
        <f>D24+E24</f>
        <v>-31.915</v>
      </c>
      <c r="J24" s="35">
        <f>AVERAGE(I21:I24)</f>
        <v>-7.52125</v>
      </c>
      <c r="K24" s="14"/>
      <c r="L24" s="14">
        <f>-H24+L23</f>
        <v>77.27</v>
      </c>
      <c r="M24" s="14"/>
      <c r="N24" s="14">
        <f>1+N23</f>
        <v>21</v>
      </c>
    </row>
    <row r="25" ht="21.2" customHeight="1">
      <c r="B25" s="26"/>
      <c r="C25" s="13">
        <f>6.7-C24</f>
        <v>4.79</v>
      </c>
      <c r="D25" s="14">
        <f>-0.8-D24</f>
        <v>-1.485</v>
      </c>
      <c r="E25" s="14">
        <f>-95.1-E24</f>
        <v>-62.5</v>
      </c>
      <c r="F25" s="14">
        <f>H25-G25</f>
        <v>-13.7</v>
      </c>
      <c r="G25" s="14">
        <f>106.3-G24</f>
        <v>106.3</v>
      </c>
      <c r="H25" s="14">
        <f>122.7-H24</f>
        <v>92.59999999999999</v>
      </c>
      <c r="I25" s="35">
        <f>D25+E25</f>
        <v>-63.985</v>
      </c>
      <c r="J25" s="35">
        <f>AVERAGE(I22:I25)</f>
        <v>-23.05</v>
      </c>
      <c r="K25" s="14"/>
      <c r="L25" s="14">
        <f>-H25+L24</f>
        <v>-15.33</v>
      </c>
      <c r="M25" s="14"/>
      <c r="N25" s="14">
        <f>1+N24</f>
        <v>22</v>
      </c>
    </row>
    <row r="26" ht="21.2" customHeight="1">
      <c r="B26" s="26"/>
      <c r="C26" s="13">
        <f>7.6-SUM(C24:C25)</f>
        <v>0.9</v>
      </c>
      <c r="D26" s="14">
        <f>1.5-SUM(D24:D25)</f>
        <v>2.3</v>
      </c>
      <c r="E26" s="14">
        <f>-112-SUM(E24:E25)</f>
        <v>-16.9</v>
      </c>
      <c r="F26" s="14">
        <f>H26-G26</f>
        <v>-0.7</v>
      </c>
      <c r="G26" s="14">
        <f>106.4-SUM(G24:G25)</f>
        <v>0.1</v>
      </c>
      <c r="H26" s="14">
        <f>122.1-SUM(H24:H25)</f>
        <v>-0.6</v>
      </c>
      <c r="I26" s="35">
        <f>D26+E26</f>
        <v>-14.6</v>
      </c>
      <c r="J26" s="35">
        <f>AVERAGE(I23:I26)</f>
        <v>-27.675</v>
      </c>
      <c r="K26" s="14"/>
      <c r="L26" s="14">
        <f>-H26+L25</f>
        <v>-14.73</v>
      </c>
      <c r="M26" s="14"/>
      <c r="N26" s="14">
        <f>1+N25</f>
        <v>23</v>
      </c>
    </row>
    <row r="27" ht="21.2" customHeight="1">
      <c r="B27" s="26"/>
      <c r="C27" s="13">
        <f>11.1-SUM(C24:C26)</f>
        <v>3.5</v>
      </c>
      <c r="D27" s="14">
        <f>3.3-SUM(D24:D26)</f>
        <v>1.8</v>
      </c>
      <c r="E27" s="14">
        <f>-232.4-SUM(E24:E26)</f>
        <v>-120.4</v>
      </c>
      <c r="F27" s="14">
        <f>H27-G27</f>
        <v>-0.7</v>
      </c>
      <c r="G27" s="14">
        <f>272.4-SUM(G24:G26)</f>
        <v>166</v>
      </c>
      <c r="H27" s="14">
        <f>287.4-SUM(H24:H26)</f>
        <v>165.3</v>
      </c>
      <c r="I27" s="35">
        <f>D27+E27</f>
        <v>-118.6</v>
      </c>
      <c r="J27" s="35">
        <f>AVERAGE(I24:I27)</f>
        <v>-57.275</v>
      </c>
      <c r="K27" s="14"/>
      <c r="L27" s="14">
        <f>-H27+L26</f>
        <v>-180.03</v>
      </c>
      <c r="M27" s="14"/>
      <c r="N27" s="14">
        <f>1+N26</f>
        <v>24</v>
      </c>
    </row>
    <row r="28" ht="21.2" customHeight="1">
      <c r="B28" s="30">
        <v>2022</v>
      </c>
      <c r="C28" s="13">
        <v>2.964</v>
      </c>
      <c r="D28" s="14">
        <v>0.35</v>
      </c>
      <c r="E28" s="14">
        <v>-65.251</v>
      </c>
      <c r="F28" s="14">
        <f>H28-G28</f>
        <v>-0.731</v>
      </c>
      <c r="G28" s="14">
        <v>60.985</v>
      </c>
      <c r="H28" s="14">
        <v>60.254</v>
      </c>
      <c r="I28" s="35">
        <f>D28+E28</f>
        <v>-64.901</v>
      </c>
      <c r="J28" s="35">
        <f>AVERAGE(I25:I28)</f>
        <v>-65.5215</v>
      </c>
      <c r="K28" s="14">
        <v>7.20035</v>
      </c>
      <c r="L28" s="14">
        <f>-H28+L27</f>
        <v>-240.284</v>
      </c>
      <c r="M28" s="14">
        <v>5.67035</v>
      </c>
      <c r="N28" s="14">
        <f>1+N27</f>
        <v>25</v>
      </c>
    </row>
    <row r="29" ht="21.2" customHeight="1">
      <c r="B29" s="26"/>
      <c r="C29" s="13"/>
      <c r="D29" s="14"/>
      <c r="E29" s="14"/>
      <c r="F29" s="14"/>
      <c r="G29" s="14"/>
      <c r="H29" s="14"/>
      <c r="I29" s="35"/>
      <c r="J29" s="29"/>
      <c r="K29" s="35">
        <f>SUM('Model'!F9:F10)</f>
        <v>3.48544768</v>
      </c>
      <c r="L29" s="14"/>
      <c r="M29" s="14">
        <f>'Model'!F34</f>
        <v>-227.64005632</v>
      </c>
      <c r="N29" s="14"/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6" customWidth="1"/>
    <col min="2" max="11" width="9.21875" style="36" customWidth="1"/>
    <col min="12" max="16384" width="16.3516" style="36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22</v>
      </c>
      <c r="F3" t="s" s="5">
        <v>23</v>
      </c>
      <c r="G3" t="s" s="5">
        <v>11</v>
      </c>
      <c r="H3" t="s" s="5">
        <v>14</v>
      </c>
      <c r="I3" t="s" s="5">
        <v>52</v>
      </c>
      <c r="J3" t="s" s="5">
        <v>53</v>
      </c>
      <c r="K3" t="s" s="5">
        <v>42</v>
      </c>
    </row>
    <row r="4" ht="20.25" customHeight="1">
      <c r="B4" s="20">
        <v>2016</v>
      </c>
      <c r="C4" s="34"/>
      <c r="D4" s="23"/>
      <c r="E4" s="23">
        <f>D4-C4</f>
        <v>0</v>
      </c>
      <c r="F4" s="23"/>
      <c r="G4" s="23"/>
      <c r="H4" s="23"/>
      <c r="I4" s="23">
        <f>G4+H4-C4-E4</f>
        <v>0</v>
      </c>
      <c r="J4" s="23">
        <f>C4-G4</f>
        <v>0</v>
      </c>
      <c r="K4" s="23"/>
    </row>
    <row r="5" ht="20.05" customHeight="1">
      <c r="B5" s="26"/>
      <c r="C5" s="13">
        <v>2</v>
      </c>
      <c r="D5" s="14">
        <v>1847</v>
      </c>
      <c r="E5" s="14">
        <f>D5-C5</f>
        <v>1845</v>
      </c>
      <c r="F5" s="14">
        <v>13</v>
      </c>
      <c r="G5" s="14">
        <v>964</v>
      </c>
      <c r="H5" s="14">
        <v>883</v>
      </c>
      <c r="I5" s="14">
        <f>G5+H5-C5-E5</f>
        <v>0</v>
      </c>
      <c r="J5" s="14">
        <f>C5-G5</f>
        <v>-962</v>
      </c>
      <c r="K5" s="14"/>
    </row>
    <row r="6" ht="20.05" customHeight="1">
      <c r="B6" s="26"/>
      <c r="C6" s="13">
        <v>5</v>
      </c>
      <c r="D6" s="14">
        <v>1362</v>
      </c>
      <c r="E6" s="14">
        <f>D6-C6</f>
        <v>1357</v>
      </c>
      <c r="F6" s="14">
        <v>13</v>
      </c>
      <c r="G6" s="14">
        <v>801</v>
      </c>
      <c r="H6" s="14">
        <v>561</v>
      </c>
      <c r="I6" s="14">
        <f>G6+H6-C6-E6</f>
        <v>0</v>
      </c>
      <c r="J6" s="14">
        <f>C6-G6</f>
        <v>-796</v>
      </c>
      <c r="K6" s="14"/>
    </row>
    <row r="7" ht="20.05" customHeight="1">
      <c r="B7" s="26"/>
      <c r="C7" s="13">
        <v>3</v>
      </c>
      <c r="D7" s="14">
        <v>1076</v>
      </c>
      <c r="E7" s="14">
        <f>D7-C7</f>
        <v>1073</v>
      </c>
      <c r="F7" s="14">
        <v>14</v>
      </c>
      <c r="G7" s="14">
        <v>438</v>
      </c>
      <c r="H7" s="14">
        <v>638</v>
      </c>
      <c r="I7" s="14">
        <f>G7+H7-C7-E7</f>
        <v>0</v>
      </c>
      <c r="J7" s="14">
        <f>C7-G7</f>
        <v>-435</v>
      </c>
      <c r="K7" s="14"/>
    </row>
    <row r="8" ht="20.05" customHeight="1">
      <c r="B8" s="30">
        <v>2017</v>
      </c>
      <c r="C8" s="13">
        <v>8</v>
      </c>
      <c r="D8" s="14">
        <v>1087</v>
      </c>
      <c r="E8" s="14">
        <f>D8-C8</f>
        <v>1079</v>
      </c>
      <c r="F8" s="14">
        <v>14</v>
      </c>
      <c r="G8" s="14">
        <v>456</v>
      </c>
      <c r="H8" s="14">
        <v>631</v>
      </c>
      <c r="I8" s="14">
        <f>G8+H8-C8-E8</f>
        <v>0</v>
      </c>
      <c r="J8" s="14">
        <f>C8-G8</f>
        <v>-448</v>
      </c>
      <c r="K8" s="14"/>
    </row>
    <row r="9" ht="20.05" customHeight="1">
      <c r="B9" s="26"/>
      <c r="C9" s="13"/>
      <c r="D9" s="14"/>
      <c r="E9" s="14">
        <f>D9-C9</f>
        <v>0</v>
      </c>
      <c r="F9" s="14"/>
      <c r="G9" s="14"/>
      <c r="H9" s="37"/>
      <c r="I9" s="14">
        <f>G9+H9-C9-E9</f>
        <v>0</v>
      </c>
      <c r="J9" s="14">
        <f>C9-G9</f>
        <v>0</v>
      </c>
      <c r="K9" s="14"/>
    </row>
    <row r="10" ht="20.05" customHeight="1">
      <c r="B10" s="26"/>
      <c r="C10" s="13">
        <v>6</v>
      </c>
      <c r="D10" s="14">
        <v>1002</v>
      </c>
      <c r="E10" s="14">
        <f>D10-C10</f>
        <v>996</v>
      </c>
      <c r="F10" s="14">
        <v>15</v>
      </c>
      <c r="G10" s="14">
        <v>242</v>
      </c>
      <c r="H10" s="14">
        <v>760</v>
      </c>
      <c r="I10" s="14">
        <f>G10+H10-C10-E10</f>
        <v>0</v>
      </c>
      <c r="J10" s="14">
        <f>C10-G10</f>
        <v>-236</v>
      </c>
      <c r="K10" s="14"/>
    </row>
    <row r="11" ht="20.05" customHeight="1">
      <c r="B11" s="26"/>
      <c r="C11" s="13">
        <v>5</v>
      </c>
      <c r="D11" s="14">
        <v>867</v>
      </c>
      <c r="E11" s="14">
        <f>D11-C11</f>
        <v>862</v>
      </c>
      <c r="F11" s="14">
        <v>6</v>
      </c>
      <c r="G11" s="14">
        <v>302</v>
      </c>
      <c r="H11" s="14">
        <v>565</v>
      </c>
      <c r="I11" s="14">
        <f>G11+H11-C11-E11</f>
        <v>0</v>
      </c>
      <c r="J11" s="14">
        <f>C11-G11</f>
        <v>-297</v>
      </c>
      <c r="K11" s="14"/>
    </row>
    <row r="12" ht="20.05" customHeight="1">
      <c r="B12" s="30">
        <v>2018</v>
      </c>
      <c r="C12" s="13">
        <v>3</v>
      </c>
      <c r="D12" s="14">
        <v>866</v>
      </c>
      <c r="E12" s="14">
        <f>D12-C12</f>
        <v>863</v>
      </c>
      <c r="F12" s="14">
        <v>6</v>
      </c>
      <c r="G12" s="14">
        <v>307</v>
      </c>
      <c r="H12" s="14">
        <v>559</v>
      </c>
      <c r="I12" s="14">
        <f>G12+H12-C12-E12</f>
        <v>0</v>
      </c>
      <c r="J12" s="14">
        <f>C12-G12</f>
        <v>-304</v>
      </c>
      <c r="K12" s="14"/>
    </row>
    <row r="13" ht="20.05" customHeight="1">
      <c r="B13" s="26"/>
      <c r="C13" s="13">
        <v>1</v>
      </c>
      <c r="D13" s="14">
        <v>865</v>
      </c>
      <c r="E13" s="14">
        <f>D13-C13</f>
        <v>864</v>
      </c>
      <c r="F13" s="14">
        <v>6</v>
      </c>
      <c r="G13" s="14">
        <v>311</v>
      </c>
      <c r="H13" s="14">
        <v>554</v>
      </c>
      <c r="I13" s="14">
        <f>G13+H13-C13-E13</f>
        <v>0</v>
      </c>
      <c r="J13" s="14">
        <f>C13-G13</f>
        <v>-310</v>
      </c>
      <c r="K13" s="14"/>
    </row>
    <row r="14" ht="20.05" customHeight="1">
      <c r="B14" s="26"/>
      <c r="C14" s="13">
        <v>27</v>
      </c>
      <c r="D14" s="14">
        <v>705</v>
      </c>
      <c r="E14" s="14">
        <f>D14-C14</f>
        <v>678</v>
      </c>
      <c r="F14" s="14">
        <v>7</v>
      </c>
      <c r="G14" s="14">
        <v>178</v>
      </c>
      <c r="H14" s="14">
        <v>527</v>
      </c>
      <c r="I14" s="14">
        <f>G14+H14-C14-E14</f>
        <v>0</v>
      </c>
      <c r="J14" s="14">
        <f>C14-G14</f>
        <v>-151</v>
      </c>
      <c r="K14" s="14"/>
    </row>
    <row r="15" ht="20.05" customHeight="1">
      <c r="B15" s="26"/>
      <c r="C15" s="13">
        <v>8</v>
      </c>
      <c r="D15" s="14">
        <v>691</v>
      </c>
      <c r="E15" s="14">
        <f>D15-C15</f>
        <v>683</v>
      </c>
      <c r="F15" s="14">
        <v>7</v>
      </c>
      <c r="G15" s="14">
        <v>172</v>
      </c>
      <c r="H15" s="14">
        <v>519</v>
      </c>
      <c r="I15" s="14">
        <f>G15+H15-C15-E15</f>
        <v>0</v>
      </c>
      <c r="J15" s="14">
        <f>C15-G15</f>
        <v>-164</v>
      </c>
      <c r="K15" s="14"/>
    </row>
    <row r="16" ht="20.05" customHeight="1">
      <c r="B16" s="30">
        <v>2019</v>
      </c>
      <c r="C16" s="13">
        <v>9</v>
      </c>
      <c r="D16" s="14">
        <v>691</v>
      </c>
      <c r="E16" s="14">
        <f>D16-C16</f>
        <v>682</v>
      </c>
      <c r="F16" s="14">
        <v>7</v>
      </c>
      <c r="G16" s="14">
        <v>172</v>
      </c>
      <c r="H16" s="14">
        <v>519</v>
      </c>
      <c r="I16" s="14">
        <f>G16+H16-C16-E16</f>
        <v>0</v>
      </c>
      <c r="J16" s="14">
        <f>C16-G16</f>
        <v>-163</v>
      </c>
      <c r="K16" s="14"/>
    </row>
    <row r="17" ht="20.05" customHeight="1">
      <c r="B17" s="26"/>
      <c r="C17" s="13">
        <v>5</v>
      </c>
      <c r="D17" s="14">
        <v>692</v>
      </c>
      <c r="E17" s="14">
        <f>D17-C17</f>
        <v>687</v>
      </c>
      <c r="F17" s="14">
        <v>7</v>
      </c>
      <c r="G17" s="14">
        <v>172</v>
      </c>
      <c r="H17" s="14">
        <v>520</v>
      </c>
      <c r="I17" s="14">
        <f>G17+H17-C17-E17</f>
        <v>0</v>
      </c>
      <c r="J17" s="14">
        <f>C17-G17</f>
        <v>-167</v>
      </c>
      <c r="K17" s="14"/>
    </row>
    <row r="18" ht="20.05" customHeight="1">
      <c r="B18" s="26"/>
      <c r="C18" s="13">
        <v>0.836736</v>
      </c>
      <c r="D18" s="14">
        <v>693.556472</v>
      </c>
      <c r="E18" s="14">
        <f>D18-C18</f>
        <v>692.719736</v>
      </c>
      <c r="F18" s="14">
        <v>7</v>
      </c>
      <c r="G18" s="14">
        <v>173.195079</v>
      </c>
      <c r="H18" s="14">
        <v>520.361393</v>
      </c>
      <c r="I18" s="14">
        <f>G18+H18-C18-E18</f>
        <v>0</v>
      </c>
      <c r="J18" s="14">
        <f>C18-G18</f>
        <v>-172.358343</v>
      </c>
      <c r="K18" s="14"/>
    </row>
    <row r="19" ht="20.05" customHeight="1">
      <c r="B19" s="26"/>
      <c r="C19" s="13">
        <v>1</v>
      </c>
      <c r="D19" s="14">
        <v>622</v>
      </c>
      <c r="E19" s="14">
        <f>D19-C19</f>
        <v>621</v>
      </c>
      <c r="F19" s="14">
        <f t="shared" si="46" ref="F19:F22">8</f>
        <v>8</v>
      </c>
      <c r="G19" s="14">
        <v>193</v>
      </c>
      <c r="H19" s="14">
        <v>429</v>
      </c>
      <c r="I19" s="14">
        <f>G19+H19-C19-E19</f>
        <v>0</v>
      </c>
      <c r="J19" s="14">
        <f>C19-G19</f>
        <v>-192</v>
      </c>
      <c r="K19" s="14"/>
    </row>
    <row r="20" ht="20.05" customHeight="1">
      <c r="B20" s="30">
        <v>2020</v>
      </c>
      <c r="C20" s="13">
        <v>0.226442</v>
      </c>
      <c r="D20" s="14">
        <v>715.022197</v>
      </c>
      <c r="E20" s="14">
        <f>D20-C20</f>
        <v>714.795755</v>
      </c>
      <c r="F20" s="14">
        <v>8</v>
      </c>
      <c r="G20" s="14">
        <v>193.571674</v>
      </c>
      <c r="H20" s="14">
        <v>521.450523</v>
      </c>
      <c r="I20" s="14">
        <f>G20+H20-C20-E20</f>
        <v>0</v>
      </c>
      <c r="J20" s="14">
        <f>C20-G20</f>
        <v>-193.345232</v>
      </c>
      <c r="K20" s="14"/>
    </row>
    <row r="21" ht="20.05" customHeight="1">
      <c r="B21" s="26"/>
      <c r="C21" s="13">
        <v>2</v>
      </c>
      <c r="D21" s="14">
        <v>720</v>
      </c>
      <c r="E21" s="14">
        <f>D21-C21</f>
        <v>718</v>
      </c>
      <c r="F21" s="14">
        <v>8</v>
      </c>
      <c r="G21" s="14">
        <v>145</v>
      </c>
      <c r="H21" s="14">
        <v>575</v>
      </c>
      <c r="I21" s="14">
        <f>G21+H21-C21-E21</f>
        <v>0</v>
      </c>
      <c r="J21" s="14">
        <f>C21-G21</f>
        <v>-143</v>
      </c>
      <c r="K21" s="14"/>
    </row>
    <row r="22" ht="20.05" customHeight="1">
      <c r="B22" s="26"/>
      <c r="C22" s="13">
        <v>2</v>
      </c>
      <c r="D22" s="14">
        <v>672</v>
      </c>
      <c r="E22" s="14">
        <f>D22-C22</f>
        <v>670</v>
      </c>
      <c r="F22" s="14">
        <f t="shared" si="46"/>
        <v>8</v>
      </c>
      <c r="G22" s="14">
        <v>96</v>
      </c>
      <c r="H22" s="14">
        <v>576</v>
      </c>
      <c r="I22" s="14">
        <f>G22+H22-C22-E22</f>
        <v>0</v>
      </c>
      <c r="J22" s="14">
        <f>C22-G22</f>
        <v>-94</v>
      </c>
      <c r="K22" s="14"/>
    </row>
    <row r="23" ht="20.05" customHeight="1">
      <c r="B23" s="26"/>
      <c r="C23" s="13">
        <v>2.171078</v>
      </c>
      <c r="D23" s="14">
        <v>588.143372</v>
      </c>
      <c r="E23" s="14">
        <f>D23-C23</f>
        <v>585.972294</v>
      </c>
      <c r="F23" s="14">
        <f t="shared" si="60" ref="F23:F26">9</f>
        <v>9</v>
      </c>
      <c r="G23" s="14">
        <v>101.439727</v>
      </c>
      <c r="H23" s="35">
        <v>486.703645</v>
      </c>
      <c r="I23" s="14">
        <f>G23+H23-C23-E23</f>
        <v>0</v>
      </c>
      <c r="J23" s="14">
        <f>C23-G23</f>
        <v>-99.268649</v>
      </c>
      <c r="K23" s="14"/>
    </row>
    <row r="24" ht="20.05" customHeight="1">
      <c r="B24" s="30">
        <v>2021</v>
      </c>
      <c r="C24" s="13">
        <v>0.431608</v>
      </c>
      <c r="D24" s="14">
        <v>619.638824</v>
      </c>
      <c r="E24" s="14">
        <f>D24-C24</f>
        <v>619.207216</v>
      </c>
      <c r="F24" s="14">
        <f t="shared" si="60"/>
        <v>9</v>
      </c>
      <c r="G24" s="14">
        <v>131.336902</v>
      </c>
      <c r="H24" s="14">
        <v>488.301922</v>
      </c>
      <c r="I24" s="14">
        <f>G24+H24-C24-E24</f>
        <v>0</v>
      </c>
      <c r="J24" s="14">
        <f>C24-G24</f>
        <v>-130.905294</v>
      </c>
      <c r="K24" s="14"/>
    </row>
    <row r="25" ht="20.05" customHeight="1">
      <c r="B25" s="26"/>
      <c r="C25" s="13">
        <v>29</v>
      </c>
      <c r="D25" s="14">
        <v>695</v>
      </c>
      <c r="E25" s="14">
        <f>D25-C25</f>
        <v>666</v>
      </c>
      <c r="F25" s="14">
        <f t="shared" si="60"/>
        <v>9</v>
      </c>
      <c r="G25" s="14">
        <v>98</v>
      </c>
      <c r="H25" s="14">
        <v>597</v>
      </c>
      <c r="I25" s="14">
        <f>G25+H25-C25-E25</f>
        <v>0</v>
      </c>
      <c r="J25" s="14">
        <f>C25-G25</f>
        <v>-69</v>
      </c>
      <c r="K25" s="14"/>
    </row>
    <row r="26" ht="20.05" customHeight="1">
      <c r="B26" s="26"/>
      <c r="C26" s="13">
        <v>14</v>
      </c>
      <c r="D26" s="14">
        <v>699</v>
      </c>
      <c r="E26" s="14">
        <f>D26-C26</f>
        <v>685</v>
      </c>
      <c r="F26" s="14">
        <f t="shared" si="60"/>
        <v>9</v>
      </c>
      <c r="G26" s="14">
        <v>98</v>
      </c>
      <c r="H26" s="14">
        <v>601</v>
      </c>
      <c r="I26" s="14">
        <f>G26+H26-C26-E26</f>
        <v>0</v>
      </c>
      <c r="J26" s="14">
        <f>C26-G26</f>
        <v>-84</v>
      </c>
      <c r="K26" s="14"/>
    </row>
    <row r="27" ht="20.05" customHeight="1">
      <c r="B27" s="26"/>
      <c r="C27" s="13">
        <v>60</v>
      </c>
      <c r="D27" s="14">
        <v>980</v>
      </c>
      <c r="E27" s="14">
        <f>D27-C27</f>
        <v>920</v>
      </c>
      <c r="F27" s="14">
        <v>9</v>
      </c>
      <c r="G27" s="14">
        <v>101</v>
      </c>
      <c r="H27" s="14">
        <v>879</v>
      </c>
      <c r="I27" s="14">
        <f>G27+H27-C27-E27</f>
        <v>0</v>
      </c>
      <c r="J27" s="14">
        <f>C27-G27</f>
        <v>-41</v>
      </c>
      <c r="K27" s="14"/>
    </row>
    <row r="28" ht="20.05" customHeight="1">
      <c r="B28" s="30">
        <v>2022</v>
      </c>
      <c r="C28" s="13">
        <v>55</v>
      </c>
      <c r="D28" s="14">
        <v>1042</v>
      </c>
      <c r="E28" s="14">
        <f>D28-C28</f>
        <v>987</v>
      </c>
      <c r="F28" s="14">
        <f>F27+'Sales'!E27</f>
        <v>9.263999999999999</v>
      </c>
      <c r="G28" s="14">
        <v>100</v>
      </c>
      <c r="H28" s="14">
        <v>942</v>
      </c>
      <c r="I28" s="14">
        <f>G28+H28-C28-E28</f>
        <v>0</v>
      </c>
      <c r="J28" s="14">
        <f>C28-G28</f>
        <v>-45</v>
      </c>
      <c r="K28" s="14">
        <v>-71.759755</v>
      </c>
    </row>
    <row r="29" ht="20.05" customHeight="1">
      <c r="B29" s="26"/>
      <c r="C29" s="13"/>
      <c r="D29" s="14"/>
      <c r="E29" s="14"/>
      <c r="F29" s="14"/>
      <c r="G29" s="14"/>
      <c r="H29" s="14"/>
      <c r="I29" s="14"/>
      <c r="J29" s="14"/>
      <c r="K29" s="14">
        <f>'Model'!F31</f>
        <v>-32.35605632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8" customWidth="1"/>
    <col min="2" max="4" width="9.9375" style="38" customWidth="1"/>
    <col min="5" max="16384" width="16.3516" style="38" customWidth="1"/>
  </cols>
  <sheetData>
    <row r="1" ht="30.75" customHeight="1"/>
    <row r="2" ht="27.65" customHeight="1">
      <c r="B2" t="s" s="2">
        <v>54</v>
      </c>
      <c r="C2" s="2"/>
      <c r="D2" s="2"/>
    </row>
    <row r="3" ht="20.25" customHeight="1">
      <c r="B3" s="4"/>
      <c r="C3" t="s" s="39">
        <v>55</v>
      </c>
      <c r="D3" t="s" s="39">
        <v>56</v>
      </c>
    </row>
    <row r="4" ht="20.25" customHeight="1">
      <c r="B4" s="20">
        <v>2018</v>
      </c>
      <c r="C4" s="40">
        <v>79</v>
      </c>
      <c r="D4" s="23"/>
    </row>
    <row r="5" ht="20.05" customHeight="1">
      <c r="B5" s="26"/>
      <c r="C5" s="41">
        <v>61</v>
      </c>
      <c r="D5" s="14"/>
    </row>
    <row r="6" ht="20.05" customHeight="1">
      <c r="B6" s="26"/>
      <c r="C6" s="41">
        <v>60</v>
      </c>
      <c r="D6" s="14"/>
    </row>
    <row r="7" ht="20.05" customHeight="1">
      <c r="B7" s="26"/>
      <c r="C7" s="41">
        <v>47</v>
      </c>
      <c r="D7" s="14"/>
    </row>
    <row r="8" ht="20.05" customHeight="1">
      <c r="B8" s="30">
        <v>2019</v>
      </c>
      <c r="C8" s="41">
        <v>47</v>
      </c>
      <c r="D8" s="14"/>
    </row>
    <row r="9" ht="20.05" customHeight="1">
      <c r="B9" s="26"/>
      <c r="C9" s="41">
        <v>47</v>
      </c>
      <c r="D9" s="14"/>
    </row>
    <row r="10" ht="20.05" customHeight="1">
      <c r="B10" s="26"/>
      <c r="C10" s="41">
        <v>47</v>
      </c>
      <c r="D10" s="14"/>
    </row>
    <row r="11" ht="20.05" customHeight="1">
      <c r="B11" s="26"/>
      <c r="C11" s="41">
        <v>49</v>
      </c>
      <c r="D11" s="14"/>
    </row>
    <row r="12" ht="20.05" customHeight="1">
      <c r="B12" s="30">
        <v>2020</v>
      </c>
      <c r="C12" s="41">
        <v>47</v>
      </c>
      <c r="D12" s="14"/>
    </row>
    <row r="13" ht="20.05" customHeight="1">
      <c r="B13" s="26"/>
      <c r="C13" s="41">
        <v>47</v>
      </c>
      <c r="D13" s="14"/>
    </row>
    <row r="14" ht="20.05" customHeight="1">
      <c r="B14" s="26"/>
      <c r="C14" s="41">
        <v>52</v>
      </c>
      <c r="D14" s="14"/>
    </row>
    <row r="15" ht="20.05" customHeight="1">
      <c r="B15" s="26"/>
      <c r="C15" s="41">
        <v>78</v>
      </c>
      <c r="D15" s="14"/>
    </row>
    <row r="16" ht="20.05" customHeight="1">
      <c r="B16" s="30">
        <v>2021</v>
      </c>
      <c r="C16" s="41">
        <v>74</v>
      </c>
      <c r="D16" s="42"/>
    </row>
    <row r="17" ht="20.05" customHeight="1">
      <c r="B17" s="26"/>
      <c r="C17" s="41">
        <v>119</v>
      </c>
      <c r="D17" s="42"/>
    </row>
    <row r="18" ht="20.05" customHeight="1">
      <c r="B18" s="26"/>
      <c r="C18" s="41">
        <v>93</v>
      </c>
      <c r="D18" s="42"/>
    </row>
    <row r="19" ht="20.05" customHeight="1">
      <c r="B19" s="26"/>
      <c r="C19" s="41">
        <v>116</v>
      </c>
      <c r="D19" s="42"/>
    </row>
    <row r="20" ht="20.05" customHeight="1">
      <c r="B20" s="30">
        <v>2022</v>
      </c>
      <c r="C20" s="41">
        <v>198</v>
      </c>
      <c r="D20" s="42"/>
    </row>
    <row r="21" ht="20.05" customHeight="1">
      <c r="B21" s="26"/>
      <c r="C21" s="41">
        <v>276</v>
      </c>
      <c r="D21" s="42">
        <v>124.848501910733</v>
      </c>
    </row>
    <row r="22" ht="20.05" customHeight="1">
      <c r="B22" s="26"/>
      <c r="C22" s="41"/>
      <c r="D22" s="42">
        <f>'Model'!F45</f>
        <v>124.848501910733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