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 Cashflow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<sst xmlns="http://schemas.openxmlformats.org/spreadsheetml/2006/main" uniqueCount="68">
  <si>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</si>
  <si>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</si>
  <si>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</si>
  <si>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</si>
  <si>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</si>
  <si>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</si>
  <si>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</si>
  <si>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</si>
  <si>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</si>
  <si>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</si>
  <si>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</si>
  <si>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Payout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</si>
  <si>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</si>
  <si>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</si>
  <si>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</si>
  <si>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</si>
  <si>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</si>
  <si>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</si>
  <si>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</si>
  <si>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Depreciation </t>
  </si>
  <si>
    <t>Provision</t>
  </si>
  <si>
    <t xml:space="preserve">Net profit </t>
  </si>
  <si>
    <t>Balance sheet</t>
  </si>
  <si>
    <t>Other assets</t>
  </si>
  <si>
    <t>Net other assets</t>
  </si>
  <si>
    <t xml:space="preserve">Liabilities </t>
  </si>
  <si>
    <t>Syahriah</t>
  </si>
  <si>
    <t xml:space="preserve">Equity </t>
  </si>
  <si>
    <t xml:space="preserve">Check </t>
  </si>
  <si>
    <t xml:space="preserve">Valuation </t>
  </si>
  <si>
    <t xml:space="preserve">Capital </t>
  </si>
  <si>
    <t xml:space="preserve">Current value </t>
  </si>
  <si>
    <t>P/assets</t>
  </si>
  <si>
    <t>Yield</t>
  </si>
  <si>
    <t>Cashfkow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</si>
  <si>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</si>
  <si>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</si>
  <si>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</si>
  <si>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</si>
  <si>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</si>
  <si>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</si>
  <si>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</si>
  <si>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</si>
  <si>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Forecast</t>
  </si>
  <si>
    <t xml:space="preserve">Provisions </t>
  </si>
  <si>
    <t xml:space="preserve">Net income </t>
  </si>
  <si>
    <t>Sales to assets ratio</t>
  </si>
  <si>
    <t xml:space="preserve">Sales growth </t>
  </si>
  <si>
    <t xml:space="preserve">Cost ratio </t>
  </si>
  <si>
    <t>Receipts</t>
  </si>
  <si>
    <t>Operating before working capital</t>
  </si>
  <si>
    <t xml:space="preserve">Operating </t>
  </si>
  <si>
    <t xml:space="preserve">Investing </t>
  </si>
  <si>
    <t>Leases</t>
  </si>
  <si>
    <t xml:space="preserve">Free cashflow </t>
  </si>
  <si>
    <t>Capital</t>
  </si>
  <si>
    <t xml:space="preserve">  Cash</t>
  </si>
  <si>
    <t xml:space="preserve">Assets </t>
  </si>
  <si>
    <t>Other asset</t>
  </si>
  <si>
    <t>Depreciation &amp; provisions</t>
  </si>
  <si>
    <t>Check</t>
  </si>
  <si>
    <t xml:space="preserve">Other assets growth </t>
  </si>
  <si>
    <t>Syahriah growth</t>
  </si>
  <si>
    <t>Net cash</t>
  </si>
  <si>
    <t>Share price</t>
  </si>
  <si>
    <t>BRIS</t>
  </si>
  <si>
    <t xml:space="preserve">Total </t>
  </si>
  <si>
    <t>Total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</si>
</sst>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0%_);[Red]\(0%\)"/>
    <numFmt numFmtId="60" formatCode="#,##0%"/>
    <numFmt numFmtId="61" formatCode="#,##0.0"/>
    <numFmt numFmtId="62" formatCode="#,##0%_);[Red]\(#,##0%\)"/>
    <numFmt numFmtId="63" formatCode="#,##0.0%_);[Red]\(#,##0.0%\)"/>
    <numFmt numFmtId="64" formatCode="#,##0.0%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i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horizontal="left" vertical="top" wrapText="1"/>
    </xf>
    <xf numFmtId="4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64" fontId="0" borderId="4" applyNumberFormat="1" applyFont="1" applyFill="0" applyBorder="1" applyAlignment="1" applyProtection="0">
      <alignment vertical="top" wrapText="1"/>
    </xf>
    <xf numFmtId="6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9981"/>
          <c:y val="0.0446026"/>
          <c:w val="0.829027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'!$A$14:$A$26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'!$E$14:$E$26</c:f>
              <c:numCache>
                <c:ptCount val="1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100.000000</c:v>
                </c:pt>
                <c:pt idx="4">
                  <c:v>100.000000</c:v>
                </c:pt>
                <c:pt idx="5">
                  <c:v>100.000000</c:v>
                </c:pt>
                <c:pt idx="6">
                  <c:v>100.000000</c:v>
                </c:pt>
                <c:pt idx="7">
                  <c:v>1100.000000</c:v>
                </c:pt>
                <c:pt idx="8">
                  <c:v>1100.000000</c:v>
                </c:pt>
                <c:pt idx="9">
                  <c:v>1100.000000</c:v>
                </c:pt>
                <c:pt idx="10">
                  <c:v>1100.000000</c:v>
                </c:pt>
                <c:pt idx="11">
                  <c:v>1100.000000</c:v>
                </c:pt>
                <c:pt idx="12">
                  <c:v>1100.000000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'!$A$14:$A$26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'!$F$14:$F$26</c:f>
              <c:numCache>
                <c:ptCount val="13"/>
                <c:pt idx="0">
                  <c:v>443.000000</c:v>
                </c:pt>
                <c:pt idx="1">
                  <c:v>939.000000</c:v>
                </c:pt>
                <c:pt idx="2">
                  <c:v>939.000000</c:v>
                </c:pt>
                <c:pt idx="3">
                  <c:v>939.000000</c:v>
                </c:pt>
                <c:pt idx="4">
                  <c:v>1439.000000</c:v>
                </c:pt>
                <c:pt idx="5">
                  <c:v>1439.000000</c:v>
                </c:pt>
                <c:pt idx="6">
                  <c:v>1939.000000</c:v>
                </c:pt>
                <c:pt idx="7">
                  <c:v>1939.000000</c:v>
                </c:pt>
                <c:pt idx="8">
                  <c:v>1839.000000</c:v>
                </c:pt>
                <c:pt idx="9">
                  <c:v>4151.000000</c:v>
                </c:pt>
                <c:pt idx="10">
                  <c:v>4140.300000</c:v>
                </c:pt>
                <c:pt idx="11">
                  <c:v>4241.100000</c:v>
                </c:pt>
                <c:pt idx="12">
                  <c:v>4293.100000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'!$A$14:$A$26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'!$G$14:$G$26</c:f>
              <c:numCache>
                <c:ptCount val="13"/>
                <c:pt idx="0">
                  <c:v>443.000000</c:v>
                </c:pt>
                <c:pt idx="1">
                  <c:v>939.000000</c:v>
                </c:pt>
                <c:pt idx="2">
                  <c:v>939.000000</c:v>
                </c:pt>
                <c:pt idx="3">
                  <c:v>1039.000000</c:v>
                </c:pt>
                <c:pt idx="4">
                  <c:v>1539.000000</c:v>
                </c:pt>
                <c:pt idx="5">
                  <c:v>1539.000000</c:v>
                </c:pt>
                <c:pt idx="6">
                  <c:v>2039.000000</c:v>
                </c:pt>
                <c:pt idx="7">
                  <c:v>3039.000000</c:v>
                </c:pt>
                <c:pt idx="8">
                  <c:v>2939.000000</c:v>
                </c:pt>
                <c:pt idx="9">
                  <c:v>5251.000000</c:v>
                </c:pt>
                <c:pt idx="10">
                  <c:v>5240.300000</c:v>
                </c:pt>
                <c:pt idx="11">
                  <c:v>5341.100000</c:v>
                </c:pt>
                <c:pt idx="12">
                  <c:v>5393.100000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500"/>
        <c:minorUnit val="75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62353"/>
          <c:y val="0.0738528"/>
          <c:w val="0.376189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291501</xdr:colOff>
      <xdr:row>0</xdr:row>
      <xdr:rowOff>337533</xdr:rowOff>
    </xdr:from>
    <xdr:to>
      <xdr:col>12</xdr:col>
      <xdr:colOff>1174935</xdr:colOff>
      <xdr:row>46</xdr:row>
      <xdr:rowOff>6688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495201" y="337533"/>
          <a:ext cx="8351035" cy="115055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826560</xdr:colOff>
      <xdr:row>34</xdr:row>
      <xdr:rowOff>242619</xdr:rowOff>
    </xdr:from>
    <xdr:to>
      <xdr:col>5</xdr:col>
      <xdr:colOff>45065</xdr:colOff>
      <xdr:row>48</xdr:row>
      <xdr:rowOff>41514</xdr:rowOff>
    </xdr:to>
    <xdr:graphicFrame>
      <xdr:nvGraphicFramePr>
        <xdr:cNvPr id="4" name="2D Line Chart"/>
        <xdr:cNvGraphicFramePr/>
      </xdr:nvGraphicFramePr>
      <xdr:xfrm>
        <a:off x="826560" y="8988474"/>
        <a:ext cx="3600006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318002</xdr:colOff>
      <xdr:row>31</xdr:row>
      <xdr:rowOff>129022</xdr:rowOff>
    </xdr:from>
    <xdr:to>
      <xdr:col>5</xdr:col>
      <xdr:colOff>553623</xdr:colOff>
      <xdr:row>35</xdr:row>
      <xdr:rowOff>100653</xdr:rowOff>
    </xdr:to>
    <xdr:sp>
      <xdr:nvSpPr>
        <xdr:cNvPr id="5" name="BRIS HAS Raised 5.4 TRILLION RUPIAH SO FAR"/>
        <xdr:cNvSpPr txBox="1"/>
      </xdr:nvSpPr>
      <xdr:spPr>
        <a:xfrm>
          <a:off x="318002" y="8116687"/>
          <a:ext cx="4617122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BRIS HAS </a:t>
          </a:r>
          <a:r>
            <a:rPr b="1" baseline="0" cap="none" i="1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Raised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5.4 TRILLION RUPIAH SO FAR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45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3.01562" style="1" customWidth="1"/>
    <col min="2" max="2" width="14.7656" style="1" customWidth="1"/>
    <col min="3" max="6" width="9.41406" style="1" customWidth="1"/>
    <col min="7" max="16384" width="16.3516" style="1" customWidth="1"/>
  </cols>
  <sheetData>
    <row r="1" ht="27.65" customHeight="1">
      <c r="B1" t="s" s="2">
        <v>0</v>
      </c>
      <c r="C1" s="2"/>
      <c r="D1" s="2"/>
      <c r="E1" s="2"/>
      <c r="F1" s="2"/>
    </row>
    <row r="2" ht="20.05" customHeight="1">
      <c r="B2" t="s" s="3">
        <v>1</v>
      </c>
      <c r="C2" s="4"/>
      <c r="D2" s="4"/>
      <c r="E2" t="s" s="5">
        <v>2</v>
      </c>
      <c r="F2" s="4"/>
    </row>
    <row r="3" ht="20.3" customHeight="1">
      <c r="B3" t="s" s="6">
        <v>3</v>
      </c>
      <c r="C3" s="7">
        <f>AVERAGE('Sales'!I13:I16)</f>
        <v>0.0105289780368095</v>
      </c>
      <c r="D3" s="8"/>
      <c r="E3" s="8"/>
      <c r="F3" s="8">
        <f>AVERAGE(C4:F4)</f>
        <v>0.02</v>
      </c>
    </row>
    <row r="4" ht="20.1" customHeight="1">
      <c r="B4" t="s" s="9">
        <v>4</v>
      </c>
      <c r="C4" s="10">
        <v>0.02</v>
      </c>
      <c r="D4" s="11">
        <v>0.02</v>
      </c>
      <c r="E4" s="11">
        <v>0.05</v>
      </c>
      <c r="F4" s="11">
        <v>-0.01</v>
      </c>
    </row>
    <row r="5" ht="20.1" customHeight="1">
      <c r="B5" t="s" s="9">
        <v>5</v>
      </c>
      <c r="C5" s="12">
        <f>'Sales'!C16*(1+C4)</f>
        <v>4671.6</v>
      </c>
      <c r="D5" s="13">
        <f>C5*(1+D4)</f>
        <v>4765.032</v>
      </c>
      <c r="E5" s="13">
        <f>D5*(1+E4)</f>
        <v>5003.2836</v>
      </c>
      <c r="F5" s="13">
        <f>E5*(1+F4)</f>
        <v>4953.250764</v>
      </c>
    </row>
    <row r="6" ht="20.1" customHeight="1">
      <c r="B6" t="s" s="9">
        <v>6</v>
      </c>
      <c r="C6" s="14">
        <f>AVERAGE('Sales'!K16)</f>
        <v>-0.589290230857526</v>
      </c>
      <c r="D6" s="15">
        <f>C6</f>
        <v>-0.589290230857526</v>
      </c>
      <c r="E6" s="15">
        <f>D6</f>
        <v>-0.589290230857526</v>
      </c>
      <c r="F6" s="15">
        <f>E6</f>
        <v>-0.589290230857526</v>
      </c>
    </row>
    <row r="7" ht="20.1" customHeight="1">
      <c r="B7" t="s" s="9">
        <v>7</v>
      </c>
      <c r="C7" s="16">
        <f>C6*C5</f>
        <v>-2752.928242474020</v>
      </c>
      <c r="D7" s="17">
        <f>D6*D5</f>
        <v>-2807.9868073235</v>
      </c>
      <c r="E7" s="17">
        <f>E6*E5</f>
        <v>-2948.386147689670</v>
      </c>
      <c r="F7" s="17">
        <f>F6*F5</f>
        <v>-2918.902286212780</v>
      </c>
    </row>
    <row r="8" ht="20.1" customHeight="1">
      <c r="B8" t="s" s="9">
        <v>8</v>
      </c>
      <c r="C8" s="16">
        <f>C5+C7</f>
        <v>1918.671757525980</v>
      </c>
      <c r="D8" s="17">
        <f>D5+D7</f>
        <v>1957.0451926765</v>
      </c>
      <c r="E8" s="17">
        <f>E5+E7</f>
        <v>2054.897452310330</v>
      </c>
      <c r="F8" s="17">
        <f>F5+F7</f>
        <v>2034.348477787220</v>
      </c>
    </row>
    <row r="9" ht="20.05" customHeight="1">
      <c r="B9" t="s" s="9">
        <v>9</v>
      </c>
      <c r="C9" s="16">
        <f>AVERAGE(' Cashflow'!F9)</f>
        <v>-147</v>
      </c>
      <c r="D9" s="17">
        <f>C9</f>
        <v>-147</v>
      </c>
      <c r="E9" s="17">
        <f>D9</f>
        <v>-147</v>
      </c>
      <c r="F9" s="17">
        <f>E9</f>
        <v>-147</v>
      </c>
    </row>
    <row r="10" ht="20.1" customHeight="1">
      <c r="B10" t="s" s="9">
        <v>10</v>
      </c>
      <c r="C10" s="16">
        <f>C12+C14</f>
        <v>-277.176527257794</v>
      </c>
      <c r="D10" s="17">
        <f>D12+D14</f>
        <v>-288.688557802950</v>
      </c>
      <c r="E10" s="17">
        <f>E12+E14</f>
        <v>-318.044235693099</v>
      </c>
      <c r="F10" s="17">
        <f>F12+F14</f>
        <v>-311.879543336166</v>
      </c>
    </row>
    <row r="11" ht="20.1" customHeight="1">
      <c r="B11" t="s" s="9">
        <v>11</v>
      </c>
      <c r="C11" s="18">
        <v>0.3</v>
      </c>
      <c r="D11" s="17"/>
      <c r="E11" s="17"/>
      <c r="F11" s="17"/>
    </row>
    <row r="12" ht="20.1" customHeight="1">
      <c r="B12" t="s" s="9">
        <v>12</v>
      </c>
      <c r="C12" s="16">
        <f>IF(C21&gt;0,-C21*$C$11,0)</f>
        <v>-277.176527257794</v>
      </c>
      <c r="D12" s="17">
        <f>IF(D21&gt;0,-D21*$C$11,0)</f>
        <v>-288.688557802950</v>
      </c>
      <c r="E12" s="17">
        <f>IF(E21&gt;0,-E21*$C$11,0)</f>
        <v>-318.044235693099</v>
      </c>
      <c r="F12" s="17">
        <f>IF(F21&gt;0,-F21*$C$11,0)</f>
        <v>-311.879543336166</v>
      </c>
    </row>
    <row r="13" ht="20.05" customHeight="1">
      <c r="B13" t="s" s="9">
        <v>13</v>
      </c>
      <c r="C13" s="16">
        <f>C8+C9+C12</f>
        <v>1494.495230268190</v>
      </c>
      <c r="D13" s="17">
        <f>D8+D9+D12</f>
        <v>1521.356634873550</v>
      </c>
      <c r="E13" s="17">
        <f>E8+E9+E12</f>
        <v>1589.853216617230</v>
      </c>
      <c r="F13" s="17">
        <f>F8+F9+F12</f>
        <v>1575.468934451050</v>
      </c>
    </row>
    <row r="14" ht="20.1" customHeight="1">
      <c r="B14" t="s" s="9">
        <v>14</v>
      </c>
      <c r="C14" s="16">
        <f>-MIN(0,C13)</f>
        <v>0</v>
      </c>
      <c r="D14" s="17">
        <f>-MIN(C27,D13)</f>
        <v>0</v>
      </c>
      <c r="E14" s="17">
        <f>-MIN(D27,E13)</f>
        <v>0</v>
      </c>
      <c r="F14" s="17">
        <f>-MIN(E27,F13)</f>
        <v>0</v>
      </c>
    </row>
    <row r="15" ht="20.1" customHeight="1">
      <c r="B15" t="s" s="9">
        <v>15</v>
      </c>
      <c r="C15" s="16">
        <f>'Balance Sheet '!C16</f>
        <v>24121.6</v>
      </c>
      <c r="D15" s="17">
        <f>C17</f>
        <v>25616.0952302682</v>
      </c>
      <c r="E15" s="17">
        <f>D17</f>
        <v>27137.4518651418</v>
      </c>
      <c r="F15" s="17">
        <f>E17</f>
        <v>28727.305081759</v>
      </c>
    </row>
    <row r="16" ht="20.1" customHeight="1">
      <c r="B16" t="s" s="9">
        <v>16</v>
      </c>
      <c r="C16" s="16">
        <f>C8+C9+C10</f>
        <v>1494.495230268190</v>
      </c>
      <c r="D16" s="17">
        <f>D8+D9+D10</f>
        <v>1521.356634873550</v>
      </c>
      <c r="E16" s="17">
        <f>E8+E9+E10</f>
        <v>1589.853216617230</v>
      </c>
      <c r="F16" s="17">
        <f>F8+F9+F10</f>
        <v>1575.468934451050</v>
      </c>
    </row>
    <row r="17" ht="20.1" customHeight="1">
      <c r="B17" t="s" s="9">
        <v>17</v>
      </c>
      <c r="C17" s="16">
        <f>C15+C16</f>
        <v>25616.0952302682</v>
      </c>
      <c r="D17" s="17">
        <f>D15+D16</f>
        <v>27137.4518651418</v>
      </c>
      <c r="E17" s="17">
        <f>E15+E16</f>
        <v>28727.305081759</v>
      </c>
      <c r="F17" s="17">
        <f>F15+F16</f>
        <v>30302.7740162101</v>
      </c>
    </row>
    <row r="18" ht="20.1" customHeight="1">
      <c r="B18" t="s" s="19">
        <v>18</v>
      </c>
      <c r="C18" s="20"/>
      <c r="D18" s="21"/>
      <c r="E18" s="21"/>
      <c r="F18" s="21"/>
    </row>
    <row r="19" ht="20.1" customHeight="1">
      <c r="B19" t="s" s="9">
        <v>19</v>
      </c>
      <c r="C19" s="16">
        <f>-AVERAGE('Sales'!F15)</f>
        <v>-152.75</v>
      </c>
      <c r="D19" s="17">
        <f>C19</f>
        <v>-152.75</v>
      </c>
      <c r="E19" s="17">
        <f>D19</f>
        <v>-152.75</v>
      </c>
      <c r="F19" s="17">
        <f>E19</f>
        <v>-152.75</v>
      </c>
    </row>
    <row r="20" ht="20.1" customHeight="1">
      <c r="B20" t="s" s="9">
        <v>20</v>
      </c>
      <c r="C20" s="16">
        <f>-AVERAGE('Sales'!E16)</f>
        <v>-842</v>
      </c>
      <c r="D20" s="17">
        <f>C20</f>
        <v>-842</v>
      </c>
      <c r="E20" s="17">
        <f>D20</f>
        <v>-842</v>
      </c>
      <c r="F20" s="17">
        <f>E20</f>
        <v>-842</v>
      </c>
    </row>
    <row r="21" ht="20.1" customHeight="1">
      <c r="B21" t="s" s="9">
        <v>21</v>
      </c>
      <c r="C21" s="16">
        <f>C5+C7+C19+C20</f>
        <v>923.921757525980</v>
      </c>
      <c r="D21" s="17">
        <f>D5+D7+D19+D20</f>
        <v>962.2951926765001</v>
      </c>
      <c r="E21" s="17">
        <f>E5+E7+E19+E20</f>
        <v>1060.147452310330</v>
      </c>
      <c r="F21" s="17">
        <f>F5+F7+F19+F20</f>
        <v>1039.598477787220</v>
      </c>
    </row>
    <row r="22" ht="20.1" customHeight="1">
      <c r="B22" t="s" s="19">
        <v>22</v>
      </c>
      <c r="C22" s="20"/>
      <c r="D22" s="21"/>
      <c r="E22" s="21"/>
      <c r="F22" s="21"/>
    </row>
    <row r="23" ht="20.1" customHeight="1">
      <c r="B23" t="s" s="9">
        <v>23</v>
      </c>
      <c r="C23" s="16">
        <f>'Balance Sheet '!E16+'Balance Sheet '!F16-C9</f>
        <v>250142.4</v>
      </c>
      <c r="D23" s="17">
        <f>C23-D9</f>
        <v>250289.4</v>
      </c>
      <c r="E23" s="17">
        <f>D23-E9</f>
        <v>250436.4</v>
      </c>
      <c r="F23" s="17">
        <f>E23-F9</f>
        <v>250583.4</v>
      </c>
    </row>
    <row r="24" ht="20.1" customHeight="1">
      <c r="B24" t="s" s="9">
        <v>19</v>
      </c>
      <c r="C24" s="16">
        <f>'Balance Sheet '!F16-C19-C20</f>
        <v>3817.75</v>
      </c>
      <c r="D24" s="17">
        <f>C24-D19-D20</f>
        <v>4812.5</v>
      </c>
      <c r="E24" s="17">
        <f>D24-E19-E20</f>
        <v>5807.25</v>
      </c>
      <c r="F24" s="17">
        <f>E24-F19-F20</f>
        <v>6802</v>
      </c>
    </row>
    <row r="25" ht="20.1" customHeight="1">
      <c r="B25" t="s" s="9">
        <v>24</v>
      </c>
      <c r="C25" s="16">
        <f>C23-C24</f>
        <v>246324.65</v>
      </c>
      <c r="D25" s="17">
        <f>D23-D24</f>
        <v>245476.9</v>
      </c>
      <c r="E25" s="17">
        <f>E23-E24</f>
        <v>244629.15</v>
      </c>
      <c r="F25" s="17">
        <f>F23-F24</f>
        <v>243781.4</v>
      </c>
    </row>
    <row r="26" ht="20.1" customHeight="1">
      <c r="B26" t="s" s="9">
        <v>25</v>
      </c>
      <c r="C26" s="16">
        <f>'Balance Sheet '!G16</f>
        <v>62752</v>
      </c>
      <c r="D26" s="17">
        <f>C26</f>
        <v>62752</v>
      </c>
      <c r="E26" s="17">
        <f>D26</f>
        <v>62752</v>
      </c>
      <c r="F26" s="17">
        <f>E26</f>
        <v>62752</v>
      </c>
    </row>
    <row r="27" ht="20.1" customHeight="1">
      <c r="B27" t="s" s="9">
        <v>14</v>
      </c>
      <c r="C27" s="16">
        <f>C14</f>
        <v>0</v>
      </c>
      <c r="D27" s="17">
        <f>C27+D14</f>
        <v>0</v>
      </c>
      <c r="E27" s="17">
        <f>D27+E14</f>
        <v>0</v>
      </c>
      <c r="F27" s="17">
        <f>E27+F14</f>
        <v>0</v>
      </c>
    </row>
    <row r="28" ht="20.1" customHeight="1">
      <c r="B28" t="s" s="22">
        <v>26</v>
      </c>
      <c r="C28" s="16">
        <f>'Balance Sheet '!H16</f>
        <v>182557</v>
      </c>
      <c r="D28" s="17">
        <f>C28</f>
        <v>182557</v>
      </c>
      <c r="E28" s="17">
        <f>D28</f>
        <v>182557</v>
      </c>
      <c r="F28" s="17">
        <f>E28</f>
        <v>182557</v>
      </c>
    </row>
    <row r="29" ht="20.1" customHeight="1">
      <c r="B29" t="s" s="9">
        <v>27</v>
      </c>
      <c r="C29" s="16">
        <f>'Balance Sheet '!I16+C21+C12</f>
        <v>26631.7452302682</v>
      </c>
      <c r="D29" s="17">
        <f>C29+D21+D12</f>
        <v>27305.3518651418</v>
      </c>
      <c r="E29" s="17">
        <f>D29+E21+E12</f>
        <v>28047.455081759</v>
      </c>
      <c r="F29" s="17">
        <f>E29+F21+F12</f>
        <v>28775.1740162101</v>
      </c>
    </row>
    <row r="30" ht="20.1" customHeight="1">
      <c r="B30" t="s" s="9">
        <v>28</v>
      </c>
      <c r="C30" s="16">
        <f>C26+C27+C29+C28-C17-C25</f>
        <v>0</v>
      </c>
      <c r="D30" s="17">
        <f>D26+D27+D29+D28-D17-D25</f>
        <v>0</v>
      </c>
      <c r="E30" s="17">
        <f>E26+E27+E29+E28-E17-E25</f>
        <v>0</v>
      </c>
      <c r="F30" s="17">
        <f>F26+F27+F29+F28-F17-F25</f>
        <v>0</v>
      </c>
    </row>
    <row r="31" ht="20.1" customHeight="1">
      <c r="B31" t="s" s="19">
        <v>29</v>
      </c>
      <c r="C31" s="16"/>
      <c r="D31" s="17"/>
      <c r="E31" s="17"/>
      <c r="F31" s="17"/>
    </row>
    <row r="32" ht="20.1" customHeight="1">
      <c r="B32" t="s" s="9">
        <v>30</v>
      </c>
      <c r="C32" s="16">
        <f>' Cashflow'!M16-C10</f>
        <v>134.876527257794</v>
      </c>
      <c r="D32" s="17">
        <f>C32-D10</f>
        <v>423.565085060744</v>
      </c>
      <c r="E32" s="17">
        <f>D32-E10</f>
        <v>741.609320753843</v>
      </c>
      <c r="F32" s="17">
        <f>E32-F10</f>
        <v>1053.488864090010</v>
      </c>
    </row>
    <row r="33" ht="20.1" customHeight="1">
      <c r="B33" t="s" s="9">
        <v>31</v>
      </c>
      <c r="C33" s="16"/>
      <c r="D33" s="17"/>
      <c r="E33" s="17"/>
      <c r="F33" s="17">
        <v>61890</v>
      </c>
    </row>
    <row r="34" ht="20.1" customHeight="1">
      <c r="B34" t="s" s="9">
        <v>32</v>
      </c>
      <c r="C34" s="16"/>
      <c r="D34" s="17"/>
      <c r="E34" s="17"/>
      <c r="F34" s="23">
        <f>F33/(F17+F25)</f>
        <v>0.225806543636261</v>
      </c>
    </row>
    <row r="35" ht="20.1" customHeight="1">
      <c r="B35" t="s" s="9">
        <v>33</v>
      </c>
      <c r="C35" s="16"/>
      <c r="D35" s="17"/>
      <c r="E35" s="17"/>
      <c r="F35" s="15">
        <f>-(C12+D12+E12+F12)/F33</f>
        <v>0.0193211967052837</v>
      </c>
    </row>
    <row r="36" ht="20.1" customHeight="1">
      <c r="B36" t="s" s="9">
        <v>34</v>
      </c>
      <c r="C36" s="16"/>
      <c r="D36" s="17"/>
      <c r="E36" s="17"/>
      <c r="F36" s="17">
        <f>SUM(C8:F9)</f>
        <v>7376.962880300030</v>
      </c>
    </row>
    <row r="37" ht="20.1" customHeight="1">
      <c r="B37" t="s" s="9">
        <v>29</v>
      </c>
      <c r="C37" s="16"/>
      <c r="D37" s="17"/>
      <c r="E37" s="17"/>
      <c r="F37" s="17">
        <f>F33/F36</f>
        <v>8.389631479002761</v>
      </c>
    </row>
    <row r="38" ht="20.1" customHeight="1">
      <c r="B38" t="s" s="9">
        <v>35</v>
      </c>
      <c r="C38" s="16"/>
      <c r="D38" s="17"/>
      <c r="E38" s="17"/>
      <c r="F38" s="17">
        <v>9</v>
      </c>
    </row>
    <row r="39" ht="20.1" customHeight="1">
      <c r="B39" t="s" s="9">
        <v>36</v>
      </c>
      <c r="C39" s="16"/>
      <c r="D39" s="17"/>
      <c r="E39" s="17"/>
      <c r="F39" s="17">
        <f>F36*F38</f>
        <v>66392.6659227003</v>
      </c>
    </row>
    <row r="40" ht="20.1" customHeight="1">
      <c r="B40" t="s" s="9">
        <v>37</v>
      </c>
      <c r="C40" s="12"/>
      <c r="D40" s="13"/>
      <c r="E40" s="13"/>
      <c r="F40" s="13">
        <f>F33/F42</f>
        <v>42.8304498269896</v>
      </c>
    </row>
    <row r="41" ht="20.1" customHeight="1">
      <c r="B41" t="s" s="9">
        <v>38</v>
      </c>
      <c r="C41" s="12"/>
      <c r="D41" s="13"/>
      <c r="E41" s="13"/>
      <c r="F41" s="13">
        <f>F39/F40</f>
        <v>1550.1276823122</v>
      </c>
    </row>
    <row r="42" ht="20.1" customHeight="1">
      <c r="B42" t="s" s="9">
        <v>39</v>
      </c>
      <c r="C42" s="12"/>
      <c r="D42" s="13"/>
      <c r="E42" s="13"/>
      <c r="F42" s="13">
        <v>1445</v>
      </c>
    </row>
    <row r="43" ht="20.1" customHeight="1">
      <c r="B43" t="s" s="9">
        <v>40</v>
      </c>
      <c r="C43" s="12"/>
      <c r="D43" s="13"/>
      <c r="E43" s="13"/>
      <c r="F43" s="15">
        <f>F41/F42-1</f>
        <v>0.07275272132332181</v>
      </c>
    </row>
    <row r="44" ht="20.1" customHeight="1">
      <c r="B44" t="s" s="9">
        <v>41</v>
      </c>
      <c r="C44" s="12"/>
      <c r="D44" s="13"/>
      <c r="E44" s="13"/>
      <c r="F44" s="24">
        <f>'Sales'!C16/'Sales'!C12-1</f>
        <v>0.0310670868977938</v>
      </c>
    </row>
    <row r="45" ht="20.1" customHeight="1">
      <c r="B45" t="s" s="9">
        <v>42</v>
      </c>
      <c r="C45" s="12"/>
      <c r="D45" s="13"/>
      <c r="E45" s="13"/>
      <c r="F45" s="15">
        <f>'Sales'!F19/'Sales'!E19-1</f>
        <v>-0.0242663755458515</v>
      </c>
    </row>
  </sheetData>
  <mergeCells count="1">
    <mergeCell ref="B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1719" style="25" customWidth="1"/>
    <col min="2" max="2" width="9.92969" style="25" customWidth="1"/>
    <col min="3" max="5" width="9.30469" style="25" customWidth="1"/>
    <col min="6" max="12" width="10.5312" style="25" customWidth="1"/>
    <col min="13" max="16384" width="16.3516" style="25" customWidth="1"/>
  </cols>
  <sheetData>
    <row r="1" ht="76.1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44.25" customHeight="1">
      <c r="B3" t="s" s="5">
        <v>1</v>
      </c>
      <c r="C3" t="s" s="5">
        <v>5</v>
      </c>
      <c r="D3" t="s" s="5">
        <v>43</v>
      </c>
      <c r="E3" t="s" s="5">
        <v>44</v>
      </c>
      <c r="F3" t="s" s="5">
        <v>19</v>
      </c>
      <c r="G3" t="s" s="5">
        <v>45</v>
      </c>
      <c r="H3" t="s" s="5">
        <v>46</v>
      </c>
      <c r="I3" t="s" s="5">
        <v>47</v>
      </c>
      <c r="J3" t="s" s="5">
        <v>48</v>
      </c>
      <c r="K3" t="s" s="5">
        <v>48</v>
      </c>
      <c r="L3" t="s" s="5">
        <v>35</v>
      </c>
    </row>
    <row r="4" ht="20.25" customHeight="1">
      <c r="B4" s="26">
        <v>2019</v>
      </c>
      <c r="C4" s="27">
        <v>811</v>
      </c>
      <c r="D4" s="28"/>
      <c r="E4" s="28">
        <v>171</v>
      </c>
      <c r="F4" s="28"/>
      <c r="G4" s="28">
        <v>30</v>
      </c>
      <c r="H4" s="29"/>
      <c r="I4" s="30"/>
      <c r="J4" s="30">
        <f>(G4+E4-C4+F4)/C4</f>
        <v>-0.752157829839704</v>
      </c>
      <c r="K4" s="30"/>
      <c r="L4" s="30"/>
    </row>
    <row r="5" ht="20.05" customHeight="1">
      <c r="B5" s="31"/>
      <c r="C5" s="16">
        <f>1620-C4</f>
        <v>809</v>
      </c>
      <c r="D5" s="17"/>
      <c r="E5" s="17">
        <f>359-E4</f>
        <v>188</v>
      </c>
      <c r="F5" s="17"/>
      <c r="G5" s="17">
        <f>36-G4</f>
        <v>6</v>
      </c>
      <c r="H5" s="32"/>
      <c r="I5" s="15">
        <f>C5/C4-1</f>
        <v>-0.00246609124537608</v>
      </c>
      <c r="J5" s="15">
        <f>(G5+E5-C5+F5)/C5</f>
        <v>-0.760197775030902</v>
      </c>
      <c r="K5" s="11">
        <f>AVERAGE(J3:J5)</f>
        <v>-0.756177802435303</v>
      </c>
      <c r="L5" s="15"/>
    </row>
    <row r="6" ht="20.05" customHeight="1">
      <c r="B6" s="31"/>
      <c r="C6" s="16">
        <f>2467-C5-C4</f>
        <v>847</v>
      </c>
      <c r="D6" s="17"/>
      <c r="E6" s="17">
        <f>519-E5-E4</f>
        <v>160</v>
      </c>
      <c r="F6" s="17"/>
      <c r="G6" s="17">
        <f>57-G5-G4</f>
        <v>21</v>
      </c>
      <c r="H6" s="32"/>
      <c r="I6" s="15">
        <f>C6/C5-1</f>
        <v>0.0469715698393078</v>
      </c>
      <c r="J6" s="15">
        <f>(G6+E6-C6+F6)/C6</f>
        <v>-0.786304604486423</v>
      </c>
      <c r="K6" s="11">
        <f>AVERAGE(J3:J6)</f>
        <v>-0.766220069785676</v>
      </c>
      <c r="L6" s="15"/>
    </row>
    <row r="7" ht="20.05" customHeight="1">
      <c r="B7" s="31"/>
      <c r="C7" s="16">
        <f>3375-C6-C5-C4</f>
        <v>908</v>
      </c>
      <c r="D7" s="17"/>
      <c r="E7" s="17">
        <f>854-E6-E5-E4</f>
        <v>335</v>
      </c>
      <c r="F7" s="17"/>
      <c r="G7" s="17">
        <f>74-G6-G5-G4</f>
        <v>17</v>
      </c>
      <c r="H7" s="32">
        <f>C7/'Balance Sheet '!E7</f>
        <v>0.0537023894014668</v>
      </c>
      <c r="I7" s="15">
        <f>C7/C6-1</f>
        <v>0.0720188902007084</v>
      </c>
      <c r="J7" s="15">
        <f>(G7+E7-C7+F7)/C7</f>
        <v>-0.612334801762115</v>
      </c>
      <c r="K7" s="11">
        <f>AVERAGE(J4:J7)</f>
        <v>-0.727748752779786</v>
      </c>
      <c r="L7" s="15"/>
    </row>
    <row r="8" ht="20.05" customHeight="1">
      <c r="B8" s="33">
        <v>2020</v>
      </c>
      <c r="C8" s="16">
        <v>4241</v>
      </c>
      <c r="D8" s="17"/>
      <c r="E8" s="17">
        <v>998</v>
      </c>
      <c r="F8" s="17">
        <v>140.75</v>
      </c>
      <c r="G8" s="17">
        <v>657</v>
      </c>
      <c r="H8" s="32">
        <f>C8/'Balance Sheet '!E8</f>
        <v>0.263776589128001</v>
      </c>
      <c r="I8" s="15">
        <f>C8/C7-1</f>
        <v>3.67070484581498</v>
      </c>
      <c r="J8" s="15">
        <f>(G8+E8-C8+F8)/C8</f>
        <v>-0.576573921244989</v>
      </c>
      <c r="K8" s="11">
        <f>AVERAGE(J5:J8)</f>
        <v>-0.683852775631107</v>
      </c>
      <c r="L8" s="15"/>
    </row>
    <row r="9" ht="20.05" customHeight="1">
      <c r="B9" s="31"/>
      <c r="C9" s="16">
        <f>8056-C8</f>
        <v>3815</v>
      </c>
      <c r="D9" s="17"/>
      <c r="E9" s="17">
        <v>841</v>
      </c>
      <c r="F9" s="17">
        <v>140.75</v>
      </c>
      <c r="G9" s="17">
        <f>1103-G8</f>
        <v>446</v>
      </c>
      <c r="H9" s="32">
        <f>C9/'Balance Sheet '!E9</f>
        <v>0.148253215715229</v>
      </c>
      <c r="I9" s="15">
        <f>C9/C8-1</f>
        <v>-0.10044800754539</v>
      </c>
      <c r="J9" s="15">
        <f>(G9+E9-C9+F9)/C9</f>
        <v>-0.625753604193971</v>
      </c>
      <c r="K9" s="11">
        <f>AVERAGE(J6:J9)</f>
        <v>-0.650241732921875</v>
      </c>
      <c r="L9" s="15"/>
    </row>
    <row r="10" ht="20.05" customHeight="1">
      <c r="B10" s="31"/>
      <c r="C10" s="16">
        <f>12439-C9-C8</f>
        <v>4383</v>
      </c>
      <c r="D10" s="17"/>
      <c r="E10" s="17">
        <v>951</v>
      </c>
      <c r="F10" s="17">
        <v>140.75</v>
      </c>
      <c r="G10" s="17">
        <f>1648-G9-G8</f>
        <v>545</v>
      </c>
      <c r="H10" s="32">
        <f>C10/'Balance Sheet '!E10</f>
        <v>0.203756217749059</v>
      </c>
      <c r="I10" s="15">
        <f>C10/C9-1</f>
        <v>0.148885976408912</v>
      </c>
      <c r="J10" s="15">
        <f>(G10+E10-C10+F10)/C10</f>
        <v>-0.626568560346794</v>
      </c>
      <c r="K10" s="11">
        <f>AVERAGE(J7:J10)</f>
        <v>-0.610307721886967</v>
      </c>
      <c r="L10" s="15"/>
    </row>
    <row r="11" ht="20.05" customHeight="1">
      <c r="B11" s="31"/>
      <c r="C11" s="16">
        <f>16930-C10-C9-C8</f>
        <v>4491</v>
      </c>
      <c r="D11" s="17"/>
      <c r="E11" s="17">
        <v>831</v>
      </c>
      <c r="F11" s="17">
        <v>140.75</v>
      </c>
      <c r="G11" s="17">
        <f>2188-G10-G9-G8</f>
        <v>540</v>
      </c>
      <c r="H11" s="32">
        <f>C11/'Balance Sheet '!E11</f>
        <v>0.0210729317698729</v>
      </c>
      <c r="I11" s="15">
        <f>C11/C10-1</f>
        <v>0.0246406570841889</v>
      </c>
      <c r="J11" s="15">
        <f>(G11+E11-C11+F11)/C11</f>
        <v>-0.663382320195947</v>
      </c>
      <c r="K11" s="11">
        <f>AVERAGE(J8:J11)</f>
        <v>-0.623069601495425</v>
      </c>
      <c r="L11" s="15"/>
    </row>
    <row r="12" ht="20.05" customHeight="1">
      <c r="B12" s="33">
        <v>2021</v>
      </c>
      <c r="C12" s="16">
        <v>4442</v>
      </c>
      <c r="D12" s="17"/>
      <c r="E12" s="17">
        <v>903</v>
      </c>
      <c r="F12" s="17">
        <v>152.75</v>
      </c>
      <c r="G12" s="17">
        <v>742</v>
      </c>
      <c r="H12" s="32">
        <f>C12/'Balance Sheet '!E12</f>
        <v>0.0207567183637613</v>
      </c>
      <c r="I12" s="15">
        <f>C12/C11-1</f>
        <v>-0.0109107103095079</v>
      </c>
      <c r="J12" s="15">
        <f>(G12+E12-C12+F12)/C12</f>
        <v>-0.595283656010806</v>
      </c>
      <c r="K12" s="11">
        <f>AVERAGE(J9:J12)</f>
        <v>-0.62774703518688</v>
      </c>
      <c r="L12" s="15"/>
    </row>
    <row r="13" ht="20.05" customHeight="1">
      <c r="B13" s="31"/>
      <c r="C13" s="16">
        <f>9128-C12</f>
        <v>4686</v>
      </c>
      <c r="D13" s="17"/>
      <c r="E13" s="17">
        <v>1164</v>
      </c>
      <c r="F13" s="17">
        <v>152.75</v>
      </c>
      <c r="G13" s="17">
        <f>1481-G12</f>
        <v>739</v>
      </c>
      <c r="H13" s="32">
        <f>C13/'Balance Sheet '!E13</f>
        <v>0.0206474468281979</v>
      </c>
      <c r="I13" s="15">
        <f>C13/C12-1</f>
        <v>0.054930211616389</v>
      </c>
      <c r="J13" s="15">
        <f>(G13+E13-C13+F13)/C13</f>
        <v>-0.561299615877081</v>
      </c>
      <c r="K13" s="11">
        <f>AVERAGE(J10:J13)</f>
        <v>-0.611633538107657</v>
      </c>
      <c r="L13" s="15"/>
    </row>
    <row r="14" ht="20.05" customHeight="1">
      <c r="B14" s="31"/>
      <c r="C14" s="16">
        <f>13294-C13-C12</f>
        <v>4166</v>
      </c>
      <c r="D14" s="17"/>
      <c r="E14" s="17">
        <v>731</v>
      </c>
      <c r="F14" s="17">
        <v>152.75</v>
      </c>
      <c r="G14" s="17">
        <f>2257-G13-G12</f>
        <v>776</v>
      </c>
      <c r="H14" s="32">
        <f>C14/'Balance Sheet '!E14</f>
        <v>0.0182089173867625</v>
      </c>
      <c r="I14" s="15">
        <f>C14/C13-1</f>
        <v>-0.11096884336321</v>
      </c>
      <c r="J14" s="15">
        <f>(G14+E14-C14+F14)/C14</f>
        <v>-0.601596255400864</v>
      </c>
      <c r="K14" s="11">
        <f>AVERAGE(J11:J14)</f>
        <v>-0.605390461871175</v>
      </c>
      <c r="L14" s="15"/>
    </row>
    <row r="15" ht="20.05" customHeight="1">
      <c r="B15" s="31"/>
      <c r="C15" s="16">
        <f>17808-C14-C13-C12</f>
        <v>4514</v>
      </c>
      <c r="D15" s="17"/>
      <c r="E15" s="17">
        <v>753</v>
      </c>
      <c r="F15" s="17">
        <v>152.75</v>
      </c>
      <c r="G15" s="17">
        <f>3028-G14-G13-G12</f>
        <v>771</v>
      </c>
      <c r="H15" s="32">
        <f>C15/'Balance Sheet '!E15</f>
        <v>0.0189070438581427</v>
      </c>
      <c r="I15" s="15">
        <f>C15/C14-1</f>
        <v>0.08353336533845419</v>
      </c>
      <c r="J15" s="15">
        <f>(G15+E15-C15+F15)/C15</f>
        <v>-0.628544528134692</v>
      </c>
      <c r="K15" s="11">
        <f>AVERAGE(J12:J15)</f>
        <v>-0.596681013855861</v>
      </c>
      <c r="L15" s="15"/>
    </row>
    <row r="16" ht="20.05" customHeight="1">
      <c r="B16" s="33">
        <v>2022</v>
      </c>
      <c r="C16" s="16">
        <v>4580</v>
      </c>
      <c r="D16" s="17">
        <v>4468.86</v>
      </c>
      <c r="E16" s="17">
        <v>842</v>
      </c>
      <c r="F16" s="17">
        <v>159</v>
      </c>
      <c r="G16" s="17">
        <v>988</v>
      </c>
      <c r="H16" s="32">
        <f>C16/'Balance Sheet '!E16</f>
        <v>0.0185295769268737</v>
      </c>
      <c r="I16" s="15">
        <f>C16/C15-1</f>
        <v>0.0146211785556048</v>
      </c>
      <c r="J16" s="15">
        <f>(G16+E16-C16+F16)/C16</f>
        <v>-0.565720524017467</v>
      </c>
      <c r="K16" s="11">
        <f>AVERAGE(J13:J16)</f>
        <v>-0.589290230857526</v>
      </c>
      <c r="L16" s="11">
        <v>-0.615070391767778</v>
      </c>
    </row>
    <row r="17" ht="20.05" customHeight="1">
      <c r="B17" s="31"/>
      <c r="C17" s="16"/>
      <c r="D17" s="13">
        <f>'Model'!C5</f>
        <v>4671.6</v>
      </c>
      <c r="E17" s="17"/>
      <c r="F17" s="17"/>
      <c r="G17" s="17"/>
      <c r="H17" s="34"/>
      <c r="I17" s="11"/>
      <c r="J17" s="11"/>
      <c r="K17" s="11"/>
      <c r="L17" s="11">
        <f>'Model'!C6</f>
        <v>-0.589290230857526</v>
      </c>
    </row>
    <row r="18" ht="20.05" customHeight="1">
      <c r="B18" s="31"/>
      <c r="C18" s="16"/>
      <c r="D18" s="17">
        <f>SUM('Model'!D5)</f>
        <v>4765.032</v>
      </c>
      <c r="E18" s="17"/>
      <c r="F18" s="17"/>
      <c r="G18" s="17"/>
      <c r="H18" s="34"/>
      <c r="I18" s="11"/>
      <c r="J18" s="11"/>
      <c r="K18" s="11"/>
      <c r="L18" s="11"/>
    </row>
    <row r="19" ht="20.05" customHeight="1">
      <c r="B19" s="31"/>
      <c r="C19" s="16"/>
      <c r="D19" s="17">
        <f>'Model'!E5</f>
        <v>5003.2836</v>
      </c>
      <c r="E19" s="17">
        <f>C16</f>
        <v>4580</v>
      </c>
      <c r="F19" s="17">
        <f>D16</f>
        <v>4468.86</v>
      </c>
      <c r="G19" s="17"/>
      <c r="H19" s="34"/>
      <c r="I19" s="11"/>
      <c r="J19" s="11"/>
      <c r="K19" s="11"/>
      <c r="L19" s="11"/>
    </row>
    <row r="20" ht="20.05" customHeight="1">
      <c r="B20" s="33">
        <v>2023</v>
      </c>
      <c r="C20" s="16"/>
      <c r="D20" s="17">
        <f>'Model'!F5</f>
        <v>4953.250764</v>
      </c>
      <c r="E20" s="17"/>
      <c r="F20" s="17"/>
      <c r="G20" s="17"/>
      <c r="H20" s="34"/>
      <c r="I20" s="11"/>
      <c r="J20" s="11"/>
      <c r="K20" s="11"/>
      <c r="L20" s="11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6406" style="35" customWidth="1"/>
    <col min="2" max="15" width="9.34375" style="35" customWidth="1"/>
    <col min="16" max="16384" width="16.3516" style="35" customWidth="1"/>
  </cols>
  <sheetData>
    <row r="1" ht="16.6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56.25" customHeight="1">
      <c r="B3" t="s" s="5">
        <v>1</v>
      </c>
      <c r="C3" t="s" s="5">
        <v>49</v>
      </c>
      <c r="D3" t="s" s="5">
        <v>50</v>
      </c>
      <c r="E3" t="s" s="5">
        <v>51</v>
      </c>
      <c r="F3" t="s" s="5">
        <v>52</v>
      </c>
      <c r="G3" t="s" s="5">
        <v>53</v>
      </c>
      <c r="H3" t="s" s="5">
        <v>27</v>
      </c>
      <c r="I3" t="s" s="5">
        <v>10</v>
      </c>
      <c r="J3" t="s" s="5">
        <v>54</v>
      </c>
      <c r="K3" t="s" s="5">
        <v>3</v>
      </c>
      <c r="L3" t="s" s="5">
        <v>35</v>
      </c>
      <c r="M3" t="s" s="5">
        <v>55</v>
      </c>
      <c r="N3" t="s" s="5">
        <v>35</v>
      </c>
      <c r="O3" s="36"/>
    </row>
    <row r="4" ht="20.25" customHeight="1">
      <c r="B4" s="26">
        <v>2019</v>
      </c>
      <c r="C4" s="27">
        <f>798+64</f>
        <v>862</v>
      </c>
      <c r="D4" s="28">
        <v>260</v>
      </c>
      <c r="E4" s="28">
        <v>-623</v>
      </c>
      <c r="F4" s="28">
        <v>476</v>
      </c>
      <c r="G4" s="28">
        <v>0</v>
      </c>
      <c r="H4" s="28">
        <v>0</v>
      </c>
      <c r="I4" s="28">
        <v>0</v>
      </c>
      <c r="J4" s="28">
        <f>E4+F4</f>
        <v>-147</v>
      </c>
      <c r="K4" s="28">
        <f>AVERAGE(J4:J4)</f>
        <v>-147</v>
      </c>
      <c r="L4" s="28"/>
      <c r="M4" s="28">
        <f>-I4</f>
        <v>0</v>
      </c>
      <c r="N4" s="28"/>
      <c r="O4" s="28">
        <v>1</v>
      </c>
    </row>
    <row r="5" ht="20.05" customHeight="1">
      <c r="B5" s="31"/>
      <c r="C5" s="16">
        <f>1639+119+3-C4</f>
        <v>899</v>
      </c>
      <c r="D5" s="17">
        <f>182-D4</f>
        <v>-78</v>
      </c>
      <c r="E5" s="17">
        <f>-3543-E4</f>
        <v>-2920</v>
      </c>
      <c r="F5" s="17">
        <f>1930-F4</f>
        <v>1454</v>
      </c>
      <c r="G5" s="17"/>
      <c r="H5" s="17">
        <v>-10.7</v>
      </c>
      <c r="I5" s="17">
        <f>-10.7-I4</f>
        <v>-10.7</v>
      </c>
      <c r="J5" s="17">
        <f>E5+F5</f>
        <v>-1466</v>
      </c>
      <c r="K5" s="17">
        <f>AVERAGE(J4:J5)</f>
        <v>-806.5</v>
      </c>
      <c r="L5" s="17"/>
      <c r="M5" s="17">
        <f>-I5+M4</f>
        <v>10.7</v>
      </c>
      <c r="N5" s="17"/>
      <c r="O5" s="17">
        <f>1+O4</f>
        <v>2</v>
      </c>
    </row>
    <row r="6" ht="20.05" customHeight="1">
      <c r="B6" s="31"/>
      <c r="C6" s="16">
        <f>2505+174+1.1-C5-C4</f>
        <v>919.1</v>
      </c>
      <c r="D6" s="17">
        <f>415-D5-D4</f>
        <v>233</v>
      </c>
      <c r="E6" s="17">
        <f>-3960-E5-E4</f>
        <v>-417</v>
      </c>
      <c r="F6" s="17">
        <f>907-F5-F4</f>
        <v>-1023</v>
      </c>
      <c r="G6" s="17"/>
      <c r="H6" s="17">
        <f>-10.7-H5-H4</f>
        <v>0</v>
      </c>
      <c r="I6" s="17">
        <f>-10.7-I5-I4</f>
        <v>0</v>
      </c>
      <c r="J6" s="17">
        <f>E6+F6</f>
        <v>-1440</v>
      </c>
      <c r="K6" s="17">
        <f>AVERAGE(J4:J6)</f>
        <v>-1017.666666666670</v>
      </c>
      <c r="L6" s="17"/>
      <c r="M6" s="17">
        <f>-I6+M5</f>
        <v>10.7</v>
      </c>
      <c r="N6" s="17"/>
      <c r="O6" s="17">
        <f>1+O5</f>
        <v>3</v>
      </c>
    </row>
    <row r="7" ht="20.05" customHeight="1">
      <c r="B7" s="31"/>
      <c r="C7" s="16">
        <f>3371+251-C6-C5-C4</f>
        <v>941.9</v>
      </c>
      <c r="D7" s="17">
        <f>905-D6-D5-D4</f>
        <v>490</v>
      </c>
      <c r="E7" s="17">
        <f>-200-E6-E5-E4</f>
        <v>3760</v>
      </c>
      <c r="F7" s="17">
        <f>-1191-F6-F5-F4</f>
        <v>-2098</v>
      </c>
      <c r="G7" s="17"/>
      <c r="H7" s="17">
        <f>-10.7-H6-H5-H4</f>
        <v>0</v>
      </c>
      <c r="I7" s="17">
        <f>-10.7-I6-I5-I4</f>
        <v>0</v>
      </c>
      <c r="J7" s="17">
        <f>E7+F7</f>
        <v>1662</v>
      </c>
      <c r="K7" s="17">
        <f>AVERAGE(J4:J7)</f>
        <v>-347.75</v>
      </c>
      <c r="L7" s="17"/>
      <c r="M7" s="17">
        <f>-I7+M6</f>
        <v>10.7</v>
      </c>
      <c r="N7" s="17"/>
      <c r="O7" s="17">
        <f>1+O6</f>
        <v>4</v>
      </c>
    </row>
    <row r="8" ht="20.05" customHeight="1">
      <c r="B8" s="33">
        <v>2020</v>
      </c>
      <c r="C8" s="16">
        <f>4243+144+512+45</f>
        <v>4944</v>
      </c>
      <c r="D8" s="17">
        <v>1087</v>
      </c>
      <c r="E8" s="17">
        <v>1768</v>
      </c>
      <c r="F8" s="17">
        <v>-2185</v>
      </c>
      <c r="G8" s="17">
        <v>0</v>
      </c>
      <c r="H8" s="17">
        <f>96+256</f>
        <v>352</v>
      </c>
      <c r="I8" s="17">
        <v>352</v>
      </c>
      <c r="J8" s="17">
        <f>E8+F8</f>
        <v>-417</v>
      </c>
      <c r="K8" s="17">
        <f>AVERAGE(J5:J8)</f>
        <v>-415.25</v>
      </c>
      <c r="L8" s="17"/>
      <c r="M8" s="17">
        <f>-H8+M7</f>
        <v>-341.3</v>
      </c>
      <c r="N8" s="17"/>
      <c r="O8" s="17">
        <f>1+O7</f>
        <v>5</v>
      </c>
    </row>
    <row r="9" ht="20.05" customHeight="1">
      <c r="B9" s="31"/>
      <c r="C9" s="16">
        <f>7963+234+1049+9-C8</f>
        <v>4311</v>
      </c>
      <c r="D9" s="17">
        <f>2227-D8</f>
        <v>1140</v>
      </c>
      <c r="E9" s="17">
        <f>-1454-E8</f>
        <v>-3222</v>
      </c>
      <c r="F9" s="17">
        <f>-2332-F8</f>
        <v>-147</v>
      </c>
      <c r="G9" s="17">
        <f>-150-G8</f>
        <v>-150</v>
      </c>
      <c r="H9" s="17">
        <f>1671-104-H8</f>
        <v>1215</v>
      </c>
      <c r="I9" s="17">
        <f>1417-I8</f>
        <v>1065</v>
      </c>
      <c r="J9" s="17">
        <f>E9+F9</f>
        <v>-3369</v>
      </c>
      <c r="K9" s="17">
        <f>AVERAGE(J6:J9)</f>
        <v>-891</v>
      </c>
      <c r="L9" s="17"/>
      <c r="M9" s="17">
        <f>-H9+M8</f>
        <v>-1556.3</v>
      </c>
      <c r="N9" s="17"/>
      <c r="O9" s="17">
        <f>1+O8</f>
        <v>6</v>
      </c>
    </row>
    <row r="10" ht="20.05" customHeight="1">
      <c r="B10" s="31"/>
      <c r="C10" s="16">
        <f>12226+601+1320+27-C9-C8</f>
        <v>4919</v>
      </c>
      <c r="D10" s="17">
        <f>3284-D9-D8</f>
        <v>1057</v>
      </c>
      <c r="E10" s="17">
        <f>9457-E9-E8</f>
        <v>10911</v>
      </c>
      <c r="F10" s="17">
        <f>-738-F9-F8</f>
        <v>1594</v>
      </c>
      <c r="G10" s="17">
        <f>-191-G9-G8</f>
        <v>-41</v>
      </c>
      <c r="H10" s="17">
        <f>96-255-H9-H8</f>
        <v>-1726</v>
      </c>
      <c r="I10" s="17">
        <f>-349-I9-I8</f>
        <v>-1766</v>
      </c>
      <c r="J10" s="17">
        <f>E10+F10</f>
        <v>12505</v>
      </c>
      <c r="K10" s="17">
        <f>AVERAGE(J7:J10)</f>
        <v>2595.25</v>
      </c>
      <c r="L10" s="17"/>
      <c r="M10" s="17">
        <f>-H10+M9</f>
        <v>169.7</v>
      </c>
      <c r="N10" s="17"/>
      <c r="O10" s="17">
        <f>1+O9</f>
        <v>7</v>
      </c>
    </row>
    <row r="11" ht="20.05" customHeight="1">
      <c r="B11" s="31"/>
      <c r="C11" s="16">
        <f>16843+855+2237-C10-C9-C8</f>
        <v>5761</v>
      </c>
      <c r="D11" s="17">
        <f>5775-D10-D9-D8</f>
        <v>2491</v>
      </c>
      <c r="E11" s="17">
        <f>12187-E10-E9-E8</f>
        <v>2730</v>
      </c>
      <c r="F11" s="17">
        <f>-11748-F10-F9-F8</f>
        <v>-11010</v>
      </c>
      <c r="G11" s="17">
        <f>-241-G10-G9-G8</f>
        <v>-50</v>
      </c>
      <c r="H11" s="17">
        <f>-255+260+96-H10-H9-H8</f>
        <v>260</v>
      </c>
      <c r="I11" s="17">
        <f>-141-I10-I9-I8</f>
        <v>208</v>
      </c>
      <c r="J11" s="17">
        <f>E11+F11</f>
        <v>-8280</v>
      </c>
      <c r="K11" s="17">
        <f>AVERAGE(J8:J11)</f>
        <v>109.75</v>
      </c>
      <c r="L11" s="17"/>
      <c r="M11" s="17">
        <f>-H11+M10</f>
        <v>-90.3</v>
      </c>
      <c r="N11" s="17"/>
      <c r="O11" s="17">
        <f>1+O10</f>
        <v>8</v>
      </c>
    </row>
    <row r="12" ht="20.05" customHeight="1">
      <c r="B12" s="33">
        <v>2021</v>
      </c>
      <c r="C12" s="16">
        <f>4518+190+449</f>
        <v>5157</v>
      </c>
      <c r="D12" s="17">
        <v>1660</v>
      </c>
      <c r="E12" s="17">
        <v>-9271</v>
      </c>
      <c r="F12" s="17">
        <v>3836</v>
      </c>
      <c r="G12" s="17">
        <v>-7.8</v>
      </c>
      <c r="H12" s="17">
        <v>-655</v>
      </c>
      <c r="I12" s="17">
        <v>-655</v>
      </c>
      <c r="J12" s="17">
        <f>E12+F12</f>
        <v>-5435</v>
      </c>
      <c r="K12" s="17">
        <f>AVERAGE(J9:J12)</f>
        <v>-1144.75</v>
      </c>
      <c r="L12" s="17"/>
      <c r="M12" s="17">
        <f>-H12+M11</f>
        <v>564.7</v>
      </c>
      <c r="N12" s="17"/>
      <c r="O12" s="17">
        <f>1+O11</f>
        <v>9</v>
      </c>
    </row>
    <row r="13" ht="20.05" customHeight="1">
      <c r="B13" s="31"/>
      <c r="C13" s="16">
        <f>9033+370+860+45-C12</f>
        <v>5151</v>
      </c>
      <c r="D13" s="17">
        <f>2988-D12</f>
        <v>1328</v>
      </c>
      <c r="E13" s="17">
        <f>3891-E12</f>
        <v>13162</v>
      </c>
      <c r="F13" s="17">
        <f>-9406-F12</f>
        <v>-13242</v>
      </c>
      <c r="G13" s="17">
        <f>-49-G12</f>
        <v>-41.2</v>
      </c>
      <c r="H13" s="17">
        <f>52-655-H12</f>
        <v>52</v>
      </c>
      <c r="I13" s="17">
        <f>-652-I12</f>
        <v>3</v>
      </c>
      <c r="J13" s="17">
        <f>E13+F13</f>
        <v>-80</v>
      </c>
      <c r="K13" s="17">
        <f>AVERAGE(J10:J13)</f>
        <v>-322.5</v>
      </c>
      <c r="L13" s="17"/>
      <c r="M13" s="17">
        <f>-H13+M12</f>
        <v>512.7</v>
      </c>
      <c r="N13" s="17"/>
      <c r="O13" s="17">
        <f>1+O12</f>
        <v>10</v>
      </c>
    </row>
    <row r="14" ht="20.05" customHeight="1">
      <c r="B14" s="31"/>
      <c r="C14" s="16">
        <f>13004+575+1460+125-C13-C12</f>
        <v>4856</v>
      </c>
      <c r="D14" s="17">
        <f>3561-D13-D12</f>
        <v>573</v>
      </c>
      <c r="E14" s="17">
        <f>10095-E13-E12</f>
        <v>6204</v>
      </c>
      <c r="F14" s="17">
        <f>-13705-F13-F12</f>
        <v>-4299</v>
      </c>
      <c r="G14" s="17">
        <f>-38-G13-G12</f>
        <v>11</v>
      </c>
      <c r="H14" s="17">
        <f>-655+52-H13-H12</f>
        <v>0</v>
      </c>
      <c r="I14" s="17">
        <f>-641-I13-I12</f>
        <v>11</v>
      </c>
      <c r="J14" s="17">
        <f>E14+F14</f>
        <v>1905</v>
      </c>
      <c r="K14" s="17">
        <f>AVERAGE(J11:J14)</f>
        <v>-2972.5</v>
      </c>
      <c r="L14" s="17"/>
      <c r="M14" s="17">
        <f>-H14+M13</f>
        <v>512.7</v>
      </c>
      <c r="N14" s="17"/>
      <c r="O14" s="17">
        <f>1+O13</f>
        <v>11</v>
      </c>
    </row>
    <row r="15" ht="20.05" customHeight="1">
      <c r="B15" s="31"/>
      <c r="C15" s="16">
        <f>17730+999+2250+66-C14-C13-C12</f>
        <v>5881</v>
      </c>
      <c r="D15" s="17">
        <f>4880-D14-D13-D12</f>
        <v>1319</v>
      </c>
      <c r="E15" s="17">
        <f>18677-E14-E13-E12</f>
        <v>8582</v>
      </c>
      <c r="F15" s="17">
        <f>-18571-F14-F13-F12</f>
        <v>-4866</v>
      </c>
      <c r="G15" s="17">
        <f>-130-G14-G13-G12</f>
        <v>-92</v>
      </c>
      <c r="H15" s="17">
        <f>52-H14-H13-H12</f>
        <v>655</v>
      </c>
      <c r="I15" s="17">
        <f>-78-I14-I13-I12</f>
        <v>563</v>
      </c>
      <c r="J15" s="17">
        <f>E15+F15</f>
        <v>3716</v>
      </c>
      <c r="K15" s="17">
        <f>AVERAGE(J12:J15)</f>
        <v>26.5</v>
      </c>
      <c r="L15" s="17"/>
      <c r="M15" s="17">
        <f>-H15+M14</f>
        <v>-142.3</v>
      </c>
      <c r="N15" s="17"/>
      <c r="O15" s="17">
        <f>1+O14</f>
        <v>12</v>
      </c>
    </row>
    <row r="16" ht="20.05" customHeight="1">
      <c r="B16" s="33">
        <v>2022</v>
      </c>
      <c r="C16" s="16">
        <f>4372+239+622+9</f>
        <v>5242</v>
      </c>
      <c r="D16" s="17">
        <f>C16-974-3697-179-16-21</f>
        <v>355</v>
      </c>
      <c r="E16" s="17">
        <v>-249.3</v>
      </c>
      <c r="F16" s="17">
        <v>-2139.3</v>
      </c>
      <c r="G16" s="17">
        <v>-31.8</v>
      </c>
      <c r="H16" s="17">
        <v>0</v>
      </c>
      <c r="I16" s="17">
        <v>-31.8</v>
      </c>
      <c r="J16" s="17">
        <f>E16+F16</f>
        <v>-2388.6</v>
      </c>
      <c r="K16" s="17">
        <f>AVERAGE(J13:J16)</f>
        <v>788.1</v>
      </c>
      <c r="L16" s="17">
        <v>-104.951522212780</v>
      </c>
      <c r="M16" s="17">
        <f>-H16+M15</f>
        <v>-142.3</v>
      </c>
      <c r="N16" s="17">
        <v>-734.537119699970</v>
      </c>
      <c r="O16" s="17">
        <f>1+O15</f>
        <v>13</v>
      </c>
    </row>
    <row r="17" ht="20.05" customHeight="1">
      <c r="B17" s="31"/>
      <c r="C17" s="16"/>
      <c r="D17" s="17"/>
      <c r="E17" s="17"/>
      <c r="F17" s="17"/>
      <c r="G17" s="17"/>
      <c r="H17" s="17"/>
      <c r="I17" s="17"/>
      <c r="J17" s="17"/>
      <c r="K17" s="17"/>
      <c r="L17" s="17">
        <f>SUM('Model'!F8:F9)</f>
        <v>1887.348477787220</v>
      </c>
      <c r="M17" s="17"/>
      <c r="N17" s="17">
        <f>'Model'!F32</f>
        <v>1053.488864090010</v>
      </c>
      <c r="O17" s="17">
        <f>1+O16</f>
        <v>14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7188" style="37" customWidth="1"/>
    <col min="2" max="5" width="9.61719" style="37" customWidth="1"/>
    <col min="6" max="13" width="10.5938" style="37" customWidth="1"/>
    <col min="14" max="16384" width="16.3516" style="37" customWidth="1"/>
  </cols>
  <sheetData>
    <row r="1" ht="16.3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4.25" customHeight="1">
      <c r="B3" t="s" s="5">
        <v>1</v>
      </c>
      <c r="C3" t="s" s="5">
        <v>56</v>
      </c>
      <c r="D3" t="s" s="5">
        <v>57</v>
      </c>
      <c r="E3" t="s" s="5">
        <v>58</v>
      </c>
      <c r="F3" t="s" s="5">
        <v>59</v>
      </c>
      <c r="G3" t="s" s="5">
        <v>25</v>
      </c>
      <c r="H3" t="s" s="5">
        <v>26</v>
      </c>
      <c r="I3" t="s" s="5">
        <v>27</v>
      </c>
      <c r="J3" t="s" s="5">
        <v>60</v>
      </c>
      <c r="K3" t="s" s="5">
        <v>61</v>
      </c>
      <c r="L3" t="s" s="5">
        <v>62</v>
      </c>
      <c r="M3" t="s" s="5">
        <v>63</v>
      </c>
    </row>
    <row r="4" ht="20.9" customHeight="1">
      <c r="B4" s="26">
        <v>2019</v>
      </c>
      <c r="C4" s="27"/>
      <c r="D4" s="28"/>
      <c r="E4" s="28">
        <f>D4-C4</f>
        <v>0</v>
      </c>
      <c r="F4" s="28"/>
      <c r="G4" s="28"/>
      <c r="H4" s="28"/>
      <c r="I4" s="28">
        <f>D4-G4</f>
        <v>0</v>
      </c>
      <c r="J4" s="28">
        <f>G4+I4+H4-C4-E4</f>
        <v>0</v>
      </c>
      <c r="K4" s="38"/>
      <c r="L4" s="38"/>
      <c r="M4" s="28"/>
    </row>
    <row r="5" ht="20.9" customHeight="1">
      <c r="B5" s="31"/>
      <c r="C5" s="16"/>
      <c r="D5" s="17"/>
      <c r="E5" s="17">
        <f>D5-C5</f>
        <v>0</v>
      </c>
      <c r="F5" s="17"/>
      <c r="G5" s="17"/>
      <c r="H5" s="17"/>
      <c r="I5" s="17">
        <f>D5-G5</f>
        <v>0</v>
      </c>
      <c r="J5" s="17">
        <f>G5+I5+H5-C5-E5</f>
        <v>0</v>
      </c>
      <c r="K5" s="39"/>
      <c r="L5" s="39"/>
      <c r="M5" s="17"/>
    </row>
    <row r="6" ht="20.9" customHeight="1">
      <c r="B6" s="31"/>
      <c r="C6" s="16"/>
      <c r="D6" s="17"/>
      <c r="E6" s="17">
        <f>D6-C6</f>
        <v>0</v>
      </c>
      <c r="F6" s="17"/>
      <c r="G6" s="17"/>
      <c r="H6" s="17"/>
      <c r="I6" s="17">
        <f>D6-G6</f>
        <v>0</v>
      </c>
      <c r="J6" s="17">
        <f>G6+I6+H6-C6-E6</f>
        <v>0</v>
      </c>
      <c r="K6" s="39"/>
      <c r="L6" s="39"/>
      <c r="M6" s="17"/>
    </row>
    <row r="7" ht="20.9" customHeight="1">
      <c r="B7" s="31"/>
      <c r="C7" s="16">
        <v>26216</v>
      </c>
      <c r="D7" s="17">
        <v>43124</v>
      </c>
      <c r="E7" s="17">
        <f>D7-C7</f>
        <v>16908</v>
      </c>
      <c r="F7" s="17"/>
      <c r="G7" s="17">
        <v>11880</v>
      </c>
      <c r="H7" s="17">
        <v>26155</v>
      </c>
      <c r="I7" s="17">
        <f>D7-G7-H7</f>
        <v>5089</v>
      </c>
      <c r="J7" s="17">
        <f>G7+I7+H7-C7-E7</f>
        <v>0</v>
      </c>
      <c r="K7" s="39"/>
      <c r="L7" s="39"/>
      <c r="M7" s="17"/>
    </row>
    <row r="8" ht="20.9" customHeight="1">
      <c r="B8" s="33">
        <v>2020</v>
      </c>
      <c r="C8" s="16">
        <v>26151</v>
      </c>
      <c r="D8" s="17">
        <v>42229</v>
      </c>
      <c r="E8" s="17">
        <f>D8-C8</f>
        <v>16078</v>
      </c>
      <c r="F8" s="17"/>
      <c r="G8" s="17">
        <v>13117</v>
      </c>
      <c r="H8" s="17">
        <v>23946</v>
      </c>
      <c r="I8" s="17">
        <f>D8-G8-H8</f>
        <v>5166</v>
      </c>
      <c r="J8" s="17">
        <f>G8+I8+H8-C8-E8</f>
        <v>0</v>
      </c>
      <c r="K8" s="39">
        <f>E8/E7-1</f>
        <v>-0.0490891885497989</v>
      </c>
      <c r="L8" s="39">
        <f>H8/H7-1</f>
        <v>-0.08445803861594341</v>
      </c>
      <c r="M8" s="17">
        <f>C8-G8-H8</f>
        <v>-10912</v>
      </c>
    </row>
    <row r="9" ht="20.9" customHeight="1">
      <c r="B9" s="31"/>
      <c r="C9" s="16">
        <v>23847</v>
      </c>
      <c r="D9" s="17">
        <v>49580</v>
      </c>
      <c r="E9" s="17">
        <f>D9-C9</f>
        <v>25733</v>
      </c>
      <c r="F9" s="17"/>
      <c r="G9" s="21">
        <v>15770</v>
      </c>
      <c r="H9" s="17">
        <v>28598</v>
      </c>
      <c r="I9" s="17">
        <f>D9-G9-H9</f>
        <v>5212</v>
      </c>
      <c r="J9" s="17">
        <f>G9+I9+H9-C9-E9</f>
        <v>0</v>
      </c>
      <c r="K9" s="39">
        <f>E9/E8-1</f>
        <v>0.600510013683294</v>
      </c>
      <c r="L9" s="39">
        <f>H9/H8-1</f>
        <v>0.194270441827445</v>
      </c>
      <c r="M9" s="17">
        <f>C9-G9-H9</f>
        <v>-20521</v>
      </c>
    </row>
    <row r="10" ht="20.9" customHeight="1">
      <c r="B10" s="31"/>
      <c r="C10" s="16">
        <v>34586</v>
      </c>
      <c r="D10" s="17">
        <v>56097</v>
      </c>
      <c r="E10" s="17">
        <f>D10-C10</f>
        <v>21511</v>
      </c>
      <c r="F10" s="17"/>
      <c r="G10" s="17">
        <v>16721</v>
      </c>
      <c r="H10" s="17">
        <v>34081</v>
      </c>
      <c r="I10" s="17">
        <f>D10-G10-H10</f>
        <v>5295</v>
      </c>
      <c r="J10" s="17">
        <f>G10+I10+H10-C10-E10</f>
        <v>0</v>
      </c>
      <c r="K10" s="39">
        <f>E10/E9-1</f>
        <v>-0.164069482765321</v>
      </c>
      <c r="L10" s="39">
        <f>H10/H9-1</f>
        <v>0.191726694174418</v>
      </c>
      <c r="M10" s="17">
        <f>C10-G10-H10</f>
        <v>-16216</v>
      </c>
    </row>
    <row r="11" ht="20.9" customHeight="1">
      <c r="B11" s="31"/>
      <c r="C11" s="16">
        <v>26514</v>
      </c>
      <c r="D11" s="17">
        <v>239631</v>
      </c>
      <c r="E11" s="17">
        <f>D11-C11</f>
        <v>213117</v>
      </c>
      <c r="F11" s="17"/>
      <c r="G11" s="17">
        <v>65430</v>
      </c>
      <c r="H11" s="17">
        <v>152457</v>
      </c>
      <c r="I11" s="17">
        <f>D11-G11-H11</f>
        <v>21744</v>
      </c>
      <c r="J11" s="17">
        <f>G11+I11+H11-C11-E11</f>
        <v>0</v>
      </c>
      <c r="K11" s="39">
        <f>E11/E10-1</f>
        <v>8.907349728046119</v>
      </c>
      <c r="L11" s="39">
        <f>H11/H10-1</f>
        <v>3.47337226020363</v>
      </c>
      <c r="M11" s="17">
        <f>C11-G11-H11</f>
        <v>-191373</v>
      </c>
    </row>
    <row r="12" ht="20.9" customHeight="1">
      <c r="B12" s="33">
        <v>2021</v>
      </c>
      <c r="C12" s="16">
        <v>20424</v>
      </c>
      <c r="D12" s="17">
        <v>234427</v>
      </c>
      <c r="E12" s="17">
        <f>D12-C12</f>
        <v>214003</v>
      </c>
      <c r="F12" s="17"/>
      <c r="G12" s="17">
        <v>58809</v>
      </c>
      <c r="H12" s="17">
        <v>153121</v>
      </c>
      <c r="I12" s="17">
        <f>D12-G12-H12</f>
        <v>22497</v>
      </c>
      <c r="J12" s="17">
        <f>G12+I12+H12-C12-E12</f>
        <v>0</v>
      </c>
      <c r="K12" s="39">
        <f>E12/E11-1</f>
        <v>0.00415734080340846</v>
      </c>
      <c r="L12" s="39">
        <f>H12/H11-1</f>
        <v>0.00435532641990856</v>
      </c>
      <c r="M12" s="17">
        <f>C12-G12-H12</f>
        <v>-191506</v>
      </c>
    </row>
    <row r="13" ht="20.9" customHeight="1">
      <c r="B13" s="31"/>
      <c r="C13" s="16">
        <v>20347</v>
      </c>
      <c r="D13" s="17">
        <v>247300</v>
      </c>
      <c r="E13" s="17">
        <f>D13-C13</f>
        <v>226953</v>
      </c>
      <c r="F13" s="17"/>
      <c r="G13" s="17">
        <v>57587</v>
      </c>
      <c r="H13" s="17">
        <v>166371</v>
      </c>
      <c r="I13" s="17">
        <f>D13-G13-H13</f>
        <v>23342</v>
      </c>
      <c r="J13" s="17">
        <f>G13+I13+H13-C13-E13</f>
        <v>0</v>
      </c>
      <c r="K13" s="39">
        <f>E13/E12-1</f>
        <v>0.0605131703761162</v>
      </c>
      <c r="L13" s="39">
        <f>H13/H12-1</f>
        <v>0.08653287269545</v>
      </c>
      <c r="M13" s="17">
        <f>C13-G13-H13</f>
        <v>-203611</v>
      </c>
    </row>
    <row r="14" ht="20.9" customHeight="1">
      <c r="B14" s="31"/>
      <c r="C14" s="16">
        <v>22263</v>
      </c>
      <c r="D14" s="17">
        <v>251052</v>
      </c>
      <c r="E14" s="17">
        <f>D14-C14</f>
        <v>228789</v>
      </c>
      <c r="F14" s="17"/>
      <c r="G14" s="17">
        <v>57071</v>
      </c>
      <c r="H14" s="17">
        <v>169859</v>
      </c>
      <c r="I14" s="17">
        <f>D14-G14-H14</f>
        <v>24122</v>
      </c>
      <c r="J14" s="17">
        <f>G14+I14+H14-C14-E14</f>
        <v>0</v>
      </c>
      <c r="K14" s="39">
        <f>E14/E13-1</f>
        <v>0.008089780703493671</v>
      </c>
      <c r="L14" s="39">
        <f>H14/H13-1</f>
        <v>0.0209651922510534</v>
      </c>
      <c r="M14" s="17">
        <f>C14-G14-H14</f>
        <v>-204667</v>
      </c>
    </row>
    <row r="15" ht="20.9" customHeight="1">
      <c r="B15" s="31"/>
      <c r="C15" s="16">
        <v>26542</v>
      </c>
      <c r="D15" s="17">
        <v>265289</v>
      </c>
      <c r="E15" s="17">
        <f>D15-C15</f>
        <v>238747</v>
      </c>
      <c r="F15" s="17">
        <v>2664</v>
      </c>
      <c r="G15" s="17">
        <v>61887</v>
      </c>
      <c r="H15" s="17">
        <v>178389</v>
      </c>
      <c r="I15" s="17">
        <f>D15-G15-H15</f>
        <v>25013</v>
      </c>
      <c r="J15" s="17">
        <f>G15+I15+H15-C15-E15</f>
        <v>0</v>
      </c>
      <c r="K15" s="39">
        <f>E15/E14-1</f>
        <v>0.0435248198121413</v>
      </c>
      <c r="L15" s="39">
        <f>H15/H14-1</f>
        <v>0.0502181220894978</v>
      </c>
      <c r="M15" s="17">
        <f>C15-G15-H15</f>
        <v>-213734</v>
      </c>
    </row>
    <row r="16" ht="20.9" customHeight="1">
      <c r="B16" s="33">
        <v>2022</v>
      </c>
      <c r="C16" s="16">
        <f>C15+' Cashflow'!E16+' Cashflow'!F16+' Cashflow'!I16</f>
        <v>24121.6</v>
      </c>
      <c r="D16" s="17">
        <v>271294</v>
      </c>
      <c r="E16" s="17">
        <f>D16-C16</f>
        <v>247172.4</v>
      </c>
      <c r="F16" s="17">
        <f>F15+'Sales'!F16</f>
        <v>2823</v>
      </c>
      <c r="G16" s="17">
        <v>62752</v>
      </c>
      <c r="H16" s="17">
        <v>182557</v>
      </c>
      <c r="I16" s="17">
        <f>D16-G16-H16</f>
        <v>25985</v>
      </c>
      <c r="J16" s="17">
        <f>G16+I16+H16-C16-E16</f>
        <v>0</v>
      </c>
      <c r="K16" s="39">
        <f>E16/E15-1</f>
        <v>0.0352900769433752</v>
      </c>
      <c r="L16" s="39">
        <f>H16/H15-1</f>
        <v>0.0233646693462041</v>
      </c>
      <c r="M16" s="17">
        <f>C16-G16-H16</f>
        <v>-221187.4</v>
      </c>
    </row>
    <row r="17" ht="20.9" customHeight="1">
      <c r="B17" s="31"/>
      <c r="C17" s="16"/>
      <c r="D17" s="17"/>
      <c r="E17" s="17"/>
      <c r="F17" s="17"/>
      <c r="G17" s="17"/>
      <c r="H17" s="17"/>
      <c r="I17" s="17"/>
      <c r="J17" s="17"/>
      <c r="K17" s="39"/>
      <c r="L17" s="39"/>
      <c r="M17" s="17"/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0312" style="40" customWidth="1"/>
    <col min="2" max="2" width="6.86719" style="40" customWidth="1"/>
    <col min="3" max="4" width="8.32031" style="40" customWidth="1"/>
    <col min="5" max="16384" width="16.3516" style="40" customWidth="1"/>
  </cols>
  <sheetData>
    <row r="1" ht="7.3" customHeight="1"/>
    <row r="2" ht="27.65" customHeight="1">
      <c r="B2" t="s" s="2">
        <v>64</v>
      </c>
      <c r="C2" s="2"/>
      <c r="D2" s="2"/>
    </row>
    <row r="3" ht="20.25" customHeight="1">
      <c r="B3" s="4"/>
      <c r="C3" t="s" s="41">
        <v>65</v>
      </c>
      <c r="D3" t="s" s="41">
        <v>38</v>
      </c>
    </row>
    <row r="4" ht="20.25" customHeight="1">
      <c r="B4" s="26">
        <v>2018</v>
      </c>
      <c r="C4" s="27"/>
      <c r="D4" s="42"/>
    </row>
    <row r="5" ht="20.05" customHeight="1">
      <c r="B5" s="31"/>
      <c r="C5" s="16">
        <v>595</v>
      </c>
      <c r="D5" s="43"/>
    </row>
    <row r="6" ht="20.05" customHeight="1">
      <c r="B6" s="31"/>
      <c r="C6" s="16">
        <v>595</v>
      </c>
      <c r="D6" s="43"/>
    </row>
    <row r="7" ht="20.05" customHeight="1">
      <c r="B7" s="31"/>
      <c r="C7" s="16">
        <v>525</v>
      </c>
      <c r="D7" s="43"/>
    </row>
    <row r="8" ht="20.05" customHeight="1">
      <c r="B8" s="33">
        <v>2019</v>
      </c>
      <c r="C8" s="16">
        <v>530</v>
      </c>
      <c r="D8" s="43"/>
    </row>
    <row r="9" ht="20.05" customHeight="1">
      <c r="B9" s="31"/>
      <c r="C9" s="16">
        <v>505</v>
      </c>
      <c r="D9" s="43"/>
    </row>
    <row r="10" ht="20.05" customHeight="1">
      <c r="B10" s="31"/>
      <c r="C10" s="16">
        <v>404</v>
      </c>
      <c r="D10" s="43"/>
    </row>
    <row r="11" ht="20.05" customHeight="1">
      <c r="B11" s="31"/>
      <c r="C11" s="16">
        <v>330</v>
      </c>
      <c r="D11" s="43"/>
    </row>
    <row r="12" ht="20.05" customHeight="1">
      <c r="B12" s="33">
        <v>2020</v>
      </c>
      <c r="C12" s="16">
        <v>196</v>
      </c>
      <c r="D12" s="43"/>
    </row>
    <row r="13" ht="20.05" customHeight="1">
      <c r="B13" s="31"/>
      <c r="C13" s="16">
        <v>308</v>
      </c>
      <c r="D13" s="34"/>
    </row>
    <row r="14" ht="20.05" customHeight="1">
      <c r="B14" s="31"/>
      <c r="C14" s="16">
        <v>750</v>
      </c>
      <c r="D14" s="34"/>
    </row>
    <row r="15" ht="20.05" customHeight="1">
      <c r="B15" s="31"/>
      <c r="C15" s="16">
        <v>2250</v>
      </c>
      <c r="D15" s="34"/>
    </row>
    <row r="16" ht="20.05" customHeight="1">
      <c r="B16" s="33">
        <v>2021</v>
      </c>
      <c r="C16" s="16">
        <v>2290</v>
      </c>
      <c r="D16" s="34"/>
    </row>
    <row r="17" ht="20.05" customHeight="1">
      <c r="B17" s="31"/>
      <c r="C17" s="16">
        <v>2300</v>
      </c>
      <c r="D17" s="34"/>
    </row>
    <row r="18" ht="20.05" customHeight="1">
      <c r="B18" s="31"/>
      <c r="C18" s="16">
        <v>2040</v>
      </c>
      <c r="D18" s="34"/>
    </row>
    <row r="19" ht="20.05" customHeight="1">
      <c r="B19" s="31"/>
      <c r="C19" s="16">
        <v>1780</v>
      </c>
      <c r="D19" s="34"/>
    </row>
    <row r="20" ht="20.05" customHeight="1">
      <c r="B20" s="33">
        <v>2022</v>
      </c>
      <c r="C20" s="16">
        <v>1605</v>
      </c>
      <c r="D20" s="34"/>
    </row>
    <row r="21" ht="20.05" customHeight="1">
      <c r="B21" s="31"/>
      <c r="C21" s="16">
        <v>1445</v>
      </c>
      <c r="D21" s="17">
        <f>C21</f>
        <v>1445</v>
      </c>
    </row>
    <row r="22" ht="20.05" customHeight="1">
      <c r="B22" s="31"/>
      <c r="C22" s="16"/>
      <c r="D22" s="13">
        <f>'Model'!F41</f>
        <v>1550.1276823122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1.5625" style="44" customWidth="1"/>
    <col min="11" max="16384" width="16.3516" style="44" customWidth="1"/>
  </cols>
  <sheetData>
    <row r="1" ht="27.65" customHeight="1">
      <c r="A1" t="s" s="2">
        <v>55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s="36"/>
      <c r="B2" t="s" s="5">
        <v>25</v>
      </c>
      <c r="C2" t="s" s="5">
        <v>27</v>
      </c>
      <c r="D2" t="s" s="5">
        <v>66</v>
      </c>
      <c r="E2" t="s" s="5">
        <v>25</v>
      </c>
      <c r="F2" t="s" s="5">
        <v>27</v>
      </c>
      <c r="G2" t="s" s="5">
        <v>67</v>
      </c>
      <c r="H2" s="4"/>
      <c r="I2" s="4"/>
      <c r="J2" s="4"/>
    </row>
    <row r="3" ht="20.25" customHeight="1">
      <c r="A3" s="26">
        <v>1998</v>
      </c>
      <c r="B3" s="27"/>
      <c r="C3" s="28"/>
      <c r="D3" s="28">
        <f>B3+C3</f>
        <v>0</v>
      </c>
      <c r="E3" s="28">
        <f>B3</f>
        <v>0</v>
      </c>
      <c r="F3" s="28">
        <f>C3</f>
        <v>0</v>
      </c>
      <c r="G3" s="28">
        <f>D3</f>
        <v>0</v>
      </c>
      <c r="H3" s="45"/>
      <c r="I3" s="45"/>
      <c r="J3" s="45"/>
    </row>
    <row r="4" ht="20.05" customHeight="1">
      <c r="A4" s="33">
        <f>1+$A3</f>
        <v>1999</v>
      </c>
      <c r="B4" s="16"/>
      <c r="C4" s="17"/>
      <c r="D4" s="17">
        <f>B4+C4</f>
        <v>0</v>
      </c>
      <c r="E4" s="17">
        <f>B4+E3</f>
        <v>0</v>
      </c>
      <c r="F4" s="17">
        <f>C4+F3</f>
        <v>0</v>
      </c>
      <c r="G4" s="17">
        <f>D4+G3</f>
        <v>0</v>
      </c>
      <c r="H4" s="34"/>
      <c r="I4" s="34"/>
      <c r="J4" s="34"/>
    </row>
    <row r="5" ht="20.05" customHeight="1">
      <c r="A5" s="33">
        <f>1+$A4</f>
        <v>2000</v>
      </c>
      <c r="B5" s="16"/>
      <c r="C5" s="17"/>
      <c r="D5" s="17">
        <f>B5+C5</f>
        <v>0</v>
      </c>
      <c r="E5" s="17">
        <f>B5+E4</f>
        <v>0</v>
      </c>
      <c r="F5" s="17">
        <f>C5+F4</f>
        <v>0</v>
      </c>
      <c r="G5" s="17">
        <f>D5+G4</f>
        <v>0</v>
      </c>
      <c r="H5" s="34"/>
      <c r="I5" s="34"/>
      <c r="J5" s="34"/>
    </row>
    <row r="6" ht="20.05" customHeight="1">
      <c r="A6" s="33">
        <f>1+$A5</f>
        <v>2001</v>
      </c>
      <c r="B6" s="16"/>
      <c r="C6" s="17"/>
      <c r="D6" s="17">
        <f>B6+C6</f>
        <v>0</v>
      </c>
      <c r="E6" s="17">
        <f>B6+E5</f>
        <v>0</v>
      </c>
      <c r="F6" s="17">
        <f>C6+F5</f>
        <v>0</v>
      </c>
      <c r="G6" s="17">
        <f>D6+G5</f>
        <v>0</v>
      </c>
      <c r="H6" s="34"/>
      <c r="I6" s="34"/>
      <c r="J6" s="34"/>
    </row>
    <row r="7" ht="20.05" customHeight="1">
      <c r="A7" s="33">
        <f>1+$A6</f>
        <v>2002</v>
      </c>
      <c r="B7" s="16"/>
      <c r="C7" s="17"/>
      <c r="D7" s="17">
        <f>B7+C7</f>
        <v>0</v>
      </c>
      <c r="E7" s="17">
        <f>B7+E6</f>
        <v>0</v>
      </c>
      <c r="F7" s="17">
        <f>C7+F6</f>
        <v>0</v>
      </c>
      <c r="G7" s="17">
        <f>D7+G6</f>
        <v>0</v>
      </c>
      <c r="H7" s="34"/>
      <c r="I7" s="34"/>
      <c r="J7" s="34"/>
    </row>
    <row r="8" ht="20.05" customHeight="1">
      <c r="A8" s="33">
        <f>1+$A7</f>
        <v>2003</v>
      </c>
      <c r="B8" s="16"/>
      <c r="C8" s="17"/>
      <c r="D8" s="17">
        <f>B8+C8</f>
        <v>0</v>
      </c>
      <c r="E8" s="17">
        <f>B8+E7</f>
        <v>0</v>
      </c>
      <c r="F8" s="17">
        <f>C8+F7</f>
        <v>0</v>
      </c>
      <c r="G8" s="17">
        <f>D8+G7</f>
        <v>0</v>
      </c>
      <c r="H8" s="34"/>
      <c r="I8" s="34"/>
      <c r="J8" s="34"/>
    </row>
    <row r="9" ht="20.05" customHeight="1">
      <c r="A9" s="33">
        <f>1+$A8</f>
        <v>2004</v>
      </c>
      <c r="B9" s="16"/>
      <c r="C9" s="17"/>
      <c r="D9" s="17">
        <f>B9+C9</f>
        <v>0</v>
      </c>
      <c r="E9" s="17">
        <f>B9+E8</f>
        <v>0</v>
      </c>
      <c r="F9" s="17">
        <f>C9+F8</f>
        <v>0</v>
      </c>
      <c r="G9" s="17">
        <f>D9+G8</f>
        <v>0</v>
      </c>
      <c r="H9" s="34"/>
      <c r="I9" s="34"/>
      <c r="J9" s="34"/>
    </row>
    <row r="10" ht="20.05" customHeight="1">
      <c r="A10" s="33">
        <f>1+$A9</f>
        <v>2005</v>
      </c>
      <c r="B10" s="16"/>
      <c r="C10" s="17"/>
      <c r="D10" s="17">
        <f>B10+C10</f>
        <v>0</v>
      </c>
      <c r="E10" s="17">
        <f>B10+E9</f>
        <v>0</v>
      </c>
      <c r="F10" s="17">
        <f>C10+F9</f>
        <v>0</v>
      </c>
      <c r="G10" s="17">
        <f>D10+G9</f>
        <v>0</v>
      </c>
      <c r="H10" s="34"/>
      <c r="I10" s="34"/>
      <c r="J10" s="34"/>
    </row>
    <row r="11" ht="20.05" customHeight="1">
      <c r="A11" s="33">
        <f>1+$A10</f>
        <v>2006</v>
      </c>
      <c r="B11" s="16"/>
      <c r="C11" s="17"/>
      <c r="D11" s="17">
        <f>B11+C11</f>
        <v>0</v>
      </c>
      <c r="E11" s="17">
        <f>B11+E10</f>
        <v>0</v>
      </c>
      <c r="F11" s="17">
        <f>C11+F10</f>
        <v>0</v>
      </c>
      <c r="G11" s="17">
        <f>D11+G10</f>
        <v>0</v>
      </c>
      <c r="H11" s="34"/>
      <c r="I11" s="34"/>
      <c r="J11" s="34"/>
    </row>
    <row r="12" ht="20.05" customHeight="1">
      <c r="A12" s="33">
        <f>1+$A11</f>
        <v>2007</v>
      </c>
      <c r="B12" s="16"/>
      <c r="C12" s="17"/>
      <c r="D12" s="17">
        <f>B12+C12</f>
        <v>0</v>
      </c>
      <c r="E12" s="17">
        <f>B12+E11</f>
        <v>0</v>
      </c>
      <c r="F12" s="17">
        <f>C12+F11</f>
        <v>0</v>
      </c>
      <c r="G12" s="17">
        <f>D12+G11</f>
        <v>0</v>
      </c>
      <c r="H12" s="34"/>
      <c r="I12" s="34"/>
      <c r="J12" s="34"/>
    </row>
    <row r="13" ht="20.05" customHeight="1">
      <c r="A13" s="33">
        <f>1+$A12</f>
        <v>2008</v>
      </c>
      <c r="B13" s="16"/>
      <c r="C13" s="17">
        <v>443</v>
      </c>
      <c r="D13" s="17">
        <f>B13+C13</f>
        <v>443</v>
      </c>
      <c r="E13" s="17">
        <f>B13+E12</f>
        <v>0</v>
      </c>
      <c r="F13" s="17">
        <f>C13+F12</f>
        <v>443</v>
      </c>
      <c r="G13" s="17">
        <f>D13+G12</f>
        <v>443</v>
      </c>
      <c r="H13" s="34"/>
      <c r="I13" s="34"/>
      <c r="J13" s="34"/>
    </row>
    <row r="14" ht="20.05" customHeight="1">
      <c r="A14" s="33">
        <f>1+$A13</f>
        <v>2009</v>
      </c>
      <c r="B14" s="16"/>
      <c r="C14" s="17">
        <v>0</v>
      </c>
      <c r="D14" s="17">
        <f>B14+C14</f>
        <v>0</v>
      </c>
      <c r="E14" s="17">
        <f>B14+E13</f>
        <v>0</v>
      </c>
      <c r="F14" s="17">
        <f>C14+F13</f>
        <v>443</v>
      </c>
      <c r="G14" s="17">
        <f>D14+G13</f>
        <v>443</v>
      </c>
      <c r="H14" s="34"/>
      <c r="I14" s="34"/>
      <c r="J14" s="34"/>
    </row>
    <row r="15" ht="20.05" customHeight="1">
      <c r="A15" s="33">
        <f>1+$A14</f>
        <v>2010</v>
      </c>
      <c r="B15" s="16"/>
      <c r="C15" s="17">
        <v>496</v>
      </c>
      <c r="D15" s="17">
        <f>B15+C15</f>
        <v>496</v>
      </c>
      <c r="E15" s="17">
        <f>B15+E14</f>
        <v>0</v>
      </c>
      <c r="F15" s="17">
        <f>C15+F14</f>
        <v>939</v>
      </c>
      <c r="G15" s="17">
        <f>D15+G14</f>
        <v>939</v>
      </c>
      <c r="H15" s="34"/>
      <c r="I15" s="34"/>
      <c r="J15" s="34"/>
    </row>
    <row r="16" ht="20.05" customHeight="1">
      <c r="A16" s="33">
        <f>1+$A15</f>
        <v>2011</v>
      </c>
      <c r="B16" s="16"/>
      <c r="C16" s="17">
        <v>0</v>
      </c>
      <c r="D16" s="17">
        <f>B16+C16</f>
        <v>0</v>
      </c>
      <c r="E16" s="17">
        <f>B16+E15</f>
        <v>0</v>
      </c>
      <c r="F16" s="17">
        <f>C16+F15</f>
        <v>939</v>
      </c>
      <c r="G16" s="17">
        <f>D16+G15</f>
        <v>939</v>
      </c>
      <c r="H16" s="34"/>
      <c r="I16" s="34"/>
      <c r="J16" s="34"/>
    </row>
    <row r="17" ht="20.05" customHeight="1">
      <c r="A17" s="33">
        <f>1+$A16</f>
        <v>2012</v>
      </c>
      <c r="B17" s="16">
        <v>100</v>
      </c>
      <c r="C17" s="17"/>
      <c r="D17" s="17">
        <f>B17+C17</f>
        <v>100</v>
      </c>
      <c r="E17" s="17">
        <f>B17+E16</f>
        <v>100</v>
      </c>
      <c r="F17" s="17">
        <f>C17+F16</f>
        <v>939</v>
      </c>
      <c r="G17" s="17">
        <f>D17+G16</f>
        <v>1039</v>
      </c>
      <c r="H17" s="34"/>
      <c r="I17" s="34"/>
      <c r="J17" s="34"/>
    </row>
    <row r="18" ht="20.05" customHeight="1">
      <c r="A18" s="33">
        <f>1+$A17</f>
        <v>2013</v>
      </c>
      <c r="B18" s="16"/>
      <c r="C18" s="17">
        <v>500</v>
      </c>
      <c r="D18" s="17">
        <f>B18+C18</f>
        <v>500</v>
      </c>
      <c r="E18" s="17">
        <f>B18+E17</f>
        <v>100</v>
      </c>
      <c r="F18" s="17">
        <f>C18+F17</f>
        <v>1439</v>
      </c>
      <c r="G18" s="17">
        <f>D18+G17</f>
        <v>1539</v>
      </c>
      <c r="H18" s="34"/>
      <c r="I18" s="34"/>
      <c r="J18" s="34"/>
    </row>
    <row r="19" ht="20.05" customHeight="1">
      <c r="A19" s="33">
        <f>1+$A18</f>
        <v>2014</v>
      </c>
      <c r="B19" s="16"/>
      <c r="C19" s="17">
        <v>0</v>
      </c>
      <c r="D19" s="17">
        <f>B19+C19</f>
        <v>0</v>
      </c>
      <c r="E19" s="17">
        <f>B19+E18</f>
        <v>100</v>
      </c>
      <c r="F19" s="17">
        <f>C19+F18</f>
        <v>1439</v>
      </c>
      <c r="G19" s="17">
        <f>D19+G18</f>
        <v>1539</v>
      </c>
      <c r="H19" s="34"/>
      <c r="I19" s="34"/>
      <c r="J19" s="34"/>
    </row>
    <row r="20" ht="20.05" customHeight="1">
      <c r="A20" s="33">
        <f>1+$A19</f>
        <v>2015</v>
      </c>
      <c r="B20" s="16"/>
      <c r="C20" s="17">
        <v>500</v>
      </c>
      <c r="D20" s="17">
        <f>B20+C20</f>
        <v>500</v>
      </c>
      <c r="E20" s="17">
        <f>B20+E19</f>
        <v>100</v>
      </c>
      <c r="F20" s="17">
        <f>C20+F19</f>
        <v>1939</v>
      </c>
      <c r="G20" s="17">
        <f>D20+G19</f>
        <v>2039</v>
      </c>
      <c r="H20" s="34"/>
      <c r="I20" s="34"/>
      <c r="J20" s="34"/>
    </row>
    <row r="21" ht="20.05" customHeight="1">
      <c r="A21" s="33">
        <f>1+$A20</f>
        <v>2016</v>
      </c>
      <c r="B21" s="16">
        <v>1000</v>
      </c>
      <c r="C21" s="17"/>
      <c r="D21" s="17">
        <f>B21+C21</f>
        <v>1000</v>
      </c>
      <c r="E21" s="17">
        <f>B21+E20</f>
        <v>1100</v>
      </c>
      <c r="F21" s="17">
        <f>C21+F20</f>
        <v>1939</v>
      </c>
      <c r="G21" s="17">
        <f>D21+G20</f>
        <v>3039</v>
      </c>
      <c r="H21" s="34"/>
      <c r="I21" s="34"/>
      <c r="J21" s="34"/>
    </row>
    <row r="22" ht="20.05" customHeight="1">
      <c r="A22" s="33">
        <f>1+$A21</f>
        <v>2017</v>
      </c>
      <c r="B22" s="16"/>
      <c r="C22" s="21">
        <v>-100</v>
      </c>
      <c r="D22" s="17">
        <f>B22+C22</f>
        <v>-100</v>
      </c>
      <c r="E22" s="17">
        <f>B22+E21</f>
        <v>1100</v>
      </c>
      <c r="F22" s="17">
        <f>C22+F21</f>
        <v>1839</v>
      </c>
      <c r="G22" s="17">
        <f>D22+G21</f>
        <v>2939</v>
      </c>
      <c r="H22" s="34"/>
      <c r="I22" s="34"/>
      <c r="J22" s="34"/>
    </row>
    <row r="23" ht="20.05" customHeight="1">
      <c r="A23" s="33">
        <f>1+$A22</f>
        <v>2018</v>
      </c>
      <c r="B23" s="16"/>
      <c r="C23" s="17">
        <v>2312</v>
      </c>
      <c r="D23" s="17">
        <f>B23+C23</f>
        <v>2312</v>
      </c>
      <c r="E23" s="17">
        <f>B23+E22</f>
        <v>1100</v>
      </c>
      <c r="F23" s="17">
        <f>C23+F22</f>
        <v>4151</v>
      </c>
      <c r="G23" s="17">
        <f>D23+G22</f>
        <v>5251</v>
      </c>
      <c r="H23" s="34"/>
      <c r="I23" s="34"/>
      <c r="J23" s="34"/>
    </row>
    <row r="24" ht="20.05" customHeight="1">
      <c r="A24" s="33">
        <f>1+$A23</f>
        <v>2019</v>
      </c>
      <c r="B24" s="16"/>
      <c r="C24" s="17">
        <v>-10.7</v>
      </c>
      <c r="D24" s="17">
        <f>B24+C24</f>
        <v>-10.7</v>
      </c>
      <c r="E24" s="17">
        <f>B24+E23</f>
        <v>1100</v>
      </c>
      <c r="F24" s="17">
        <f>C24+F23</f>
        <v>4140.3</v>
      </c>
      <c r="G24" s="17">
        <f>D24+G23</f>
        <v>5240.3</v>
      </c>
      <c r="H24" s="34"/>
      <c r="I24" s="34"/>
      <c r="J24" s="34"/>
    </row>
    <row r="25" ht="20.05" customHeight="1">
      <c r="A25" s="33">
        <f>1+$A24</f>
        <v>2020</v>
      </c>
      <c r="B25" s="16"/>
      <c r="C25" s="17">
        <f>-254.8+259.6+96</f>
        <v>100.8</v>
      </c>
      <c r="D25" s="17">
        <f>B25+C25</f>
        <v>100.8</v>
      </c>
      <c r="E25" s="17">
        <f>B25+E24</f>
        <v>1100</v>
      </c>
      <c r="F25" s="17">
        <f>C25+F24</f>
        <v>4241.1</v>
      </c>
      <c r="G25" s="17">
        <f>D25+G24</f>
        <v>5341.1</v>
      </c>
      <c r="H25" s="34"/>
      <c r="I25" s="34"/>
      <c r="J25" s="34"/>
    </row>
    <row r="26" ht="20.05" customHeight="1">
      <c r="A26" s="33">
        <f>1+$A25</f>
        <v>2021</v>
      </c>
      <c r="B26" s="16"/>
      <c r="C26" s="17">
        <f>SUM(' Cashflow'!H12:H15)</f>
        <v>52</v>
      </c>
      <c r="D26" s="17">
        <f>B26+C26</f>
        <v>52</v>
      </c>
      <c r="E26" s="17">
        <f>B26+E25</f>
        <v>1100</v>
      </c>
      <c r="F26" s="17">
        <f>C26+F25</f>
        <v>4293.1</v>
      </c>
      <c r="G26" s="17">
        <f>D26+G25</f>
        <v>5393.1</v>
      </c>
      <c r="H26" s="17">
        <f>AVERAGE(D13:D26)</f>
        <v>385.221428571429</v>
      </c>
      <c r="I26" s="17">
        <f>AVERAGE(D22:D26)</f>
        <v>470.82</v>
      </c>
      <c r="J26" s="21">
        <f>SUM(' Cashflow'!H13:H16)</f>
        <v>707</v>
      </c>
    </row>
    <row r="27" ht="20.05" customHeight="1">
      <c r="A27" s="33">
        <f>1+$A26</f>
        <v>2022</v>
      </c>
      <c r="B27" s="16"/>
      <c r="C27" s="17">
        <f>' Cashflow'!H16</f>
        <v>0</v>
      </c>
      <c r="D27" s="17">
        <f>B27+C27</f>
        <v>0</v>
      </c>
      <c r="E27" s="17">
        <f>B27+E26</f>
        <v>1100</v>
      </c>
      <c r="F27" s="17">
        <f>C27+F26</f>
        <v>4293.1</v>
      </c>
      <c r="G27" s="17">
        <f>D27+G26</f>
        <v>5393.1</v>
      </c>
      <c r="H27" s="34"/>
      <c r="I27" s="34"/>
      <c r="J27" s="34"/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