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<sst xmlns="http://schemas.openxmlformats.org/spreadsheetml/2006/main" uniqueCount="57">
  <si>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</si>
  <si>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</si>
  <si>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2022</t>
  </si>
  <si>
    <t>Cashflow</t>
  </si>
  <si>
    <t>Growth</t>
  </si>
  <si>
    <t>Sales</t>
  </si>
  <si>
    <t>Cost ratio</t>
  </si>
  <si>
    <t xml:space="preserve">Cash costs 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</si>
  <si>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</si>
  <si>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</si>
  <si>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</si>
  <si>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</si>
  <si>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</si>
  <si>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</si>
  <si>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</si>
  <si>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</si>
  <si>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</si>
  <si>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</si>
  <si>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</si>
  <si>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</si>
  <si>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</si>
  <si>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</si>
  <si>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</si>
  <si>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</si>
  <si>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</si>
  <si>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</si>
  <si>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</si>
  <si>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</si>
  <si>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</si>
  <si>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</si>
  <si>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</si>
  <si>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</si>
  <si>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</si>
  <si>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</si>
  <si>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</si>
  <si>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</si>
  <si>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</si>
  <si>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</si>
  <si>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</si>
  <si>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</si>
  <si>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</si>
  <si>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11 month growth </t>
  </si>
  <si>
    <t>Sales forecasts</t>
  </si>
  <si>
    <t xml:space="preserve">Sales growth </t>
  </si>
  <si>
    <t>Net income</t>
  </si>
  <si>
    <t xml:space="preserve">Working capital </t>
  </si>
  <si>
    <t>Finance</t>
  </si>
  <si>
    <t xml:space="preserve">Free cashflow </t>
  </si>
  <si>
    <t>Capital</t>
  </si>
  <si>
    <t>Cash</t>
  </si>
  <si>
    <t>Assets</t>
  </si>
  <si>
    <t>Other Assets</t>
  </si>
  <si>
    <t>Check</t>
  </si>
  <si>
    <t>Net cash</t>
  </si>
  <si>
    <t>Boeing (BA)</t>
  </si>
  <si>
    <t>BA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</si>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</sst>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1" fontId="3" fillId="5" borderId="9" applyNumberFormat="1" applyFont="1" applyFill="1" applyBorder="1" applyAlignment="1" applyProtection="0">
      <alignment horizontal="right" vertical="center" wrapText="1" readingOrder="1"/>
    </xf>
    <xf numFmtId="0" fontId="0" fillId="5" borderId="10" applyNumberFormat="1" applyFont="1" applyFill="1" applyBorder="1" applyAlignment="1" applyProtection="0">
      <alignment horizontal="right" vertical="top" wrapText="1"/>
    </xf>
    <xf numFmtId="1" fontId="3" fillId="5" borderId="6" applyNumberFormat="1" applyFont="1" applyFill="1" applyBorder="1" applyAlignment="1" applyProtection="0">
      <alignment horizontal="right" vertical="center" wrapText="1" readingOrder="1"/>
    </xf>
    <xf numFmtId="0" fontId="0" fillId="5" borderId="7" applyNumberFormat="1" applyFont="1" applyFill="1" applyBorder="1" applyAlignment="1" applyProtection="0">
      <alignment horizontal="right"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373393</xdr:colOff>
      <xdr:row>2</xdr:row>
      <xdr:rowOff>8355</xdr:rowOff>
    </xdr:from>
    <xdr:to>
      <xdr:col>13</xdr:col>
      <xdr:colOff>448431</xdr:colOff>
      <xdr:row>48</xdr:row>
      <xdr:rowOff>244972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91393" y="661770"/>
          <a:ext cx="8787239" cy="119549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4.7656" style="1" customWidth="1"/>
    <col min="3" max="6" width="8.89844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AVERAGE('Sales'!E29:E32)</f>
        <v>-0.0175270116952854</v>
      </c>
      <c r="D4" s="8"/>
      <c r="E4" s="8"/>
      <c r="F4" s="9">
        <f>AVERAGE(C5:F5)</f>
        <v>0.08</v>
      </c>
    </row>
    <row r="5" ht="20.05" customHeight="1">
      <c r="B5" t="s" s="10">
        <v>4</v>
      </c>
      <c r="C5" s="11">
        <v>0.12</v>
      </c>
      <c r="D5" s="12">
        <v>0.12</v>
      </c>
      <c r="E5" s="12">
        <v>0.1</v>
      </c>
      <c r="F5" s="12">
        <v>-0.02</v>
      </c>
    </row>
    <row r="6" ht="20.05" customHeight="1">
      <c r="B6" t="s" s="10">
        <v>5</v>
      </c>
      <c r="C6" s="13">
        <f>'Sales'!C32*(1+C5)</f>
        <v>15669.92</v>
      </c>
      <c r="D6" s="14">
        <f>C6*(1+D5)</f>
        <v>17550.3104</v>
      </c>
      <c r="E6" s="14">
        <f>D6*(1+E5)</f>
        <v>19305.34144</v>
      </c>
      <c r="F6" s="14">
        <f>E6*(1+F5)</f>
        <v>18919.2346112</v>
      </c>
    </row>
    <row r="7" ht="20.05" customHeight="1">
      <c r="B7" t="s" s="10">
        <v>6</v>
      </c>
      <c r="C7" s="11">
        <f>AVERAGE('Sales'!G31)</f>
        <v>-0.943756723201877</v>
      </c>
      <c r="D7" s="12">
        <f>C7</f>
        <v>-0.943756723201877</v>
      </c>
      <c r="E7" s="12">
        <f>D7</f>
        <v>-0.943756723201877</v>
      </c>
      <c r="F7" s="12">
        <f>E7</f>
        <v>-0.943756723201877</v>
      </c>
    </row>
    <row r="8" ht="20.05" customHeight="1">
      <c r="B8" t="s" s="10">
        <v>7</v>
      </c>
      <c r="C8" s="15">
        <f>C7*C6</f>
        <v>-14788.5923520356</v>
      </c>
      <c r="D8" s="16">
        <f>D7*D6</f>
        <v>-16563.2234342798</v>
      </c>
      <c r="E8" s="16">
        <f>E7*E6</f>
        <v>-18219.5457777078</v>
      </c>
      <c r="F8" s="16">
        <f>F7*F6</f>
        <v>-17855.1548621536</v>
      </c>
    </row>
    <row r="9" ht="20.05" customHeight="1">
      <c r="B9" t="s" s="10">
        <v>8</v>
      </c>
      <c r="C9" s="15">
        <f>C6+C8</f>
        <v>881.3276479643999</v>
      </c>
      <c r="D9" s="16">
        <f>D6+D8</f>
        <v>987.0869657202001</v>
      </c>
      <c r="E9" s="16">
        <f>E6+E8</f>
        <v>1085.7956622922</v>
      </c>
      <c r="F9" s="16">
        <f>F6+F8</f>
        <v>1064.0797490464</v>
      </c>
    </row>
    <row r="10" ht="20.05" customHeight="1">
      <c r="B10" t="s" s="10">
        <v>9</v>
      </c>
      <c r="C10" s="15">
        <f>AVERAGE('Cashflow'!G21)</f>
        <v>-86</v>
      </c>
      <c r="D10" s="16">
        <f>C10</f>
        <v>-86</v>
      </c>
      <c r="E10" s="16">
        <f>D10</f>
        <v>-86</v>
      </c>
      <c r="F10" s="16">
        <f>E10</f>
        <v>-86</v>
      </c>
    </row>
    <row r="11" ht="20.05" customHeight="1">
      <c r="B11" t="s" s="10">
        <v>10</v>
      </c>
      <c r="C11" s="15">
        <f>C12+C15+C13</f>
        <v>-795.3276479643999</v>
      </c>
      <c r="D11" s="16">
        <f>D12+D15+D13</f>
        <v>-901.0869657202001</v>
      </c>
      <c r="E11" s="16">
        <f>E12+E15+E13</f>
        <v>-999.7956622921999</v>
      </c>
      <c r="F11" s="16">
        <f>F12+F15+F13</f>
        <v>-978.0797490464</v>
      </c>
    </row>
    <row r="12" ht="20.05" customHeight="1">
      <c r="B12" t="s" s="10">
        <v>11</v>
      </c>
      <c r="C12" s="15">
        <f>-('Balance sheet'!G32)/20</f>
        <v>-7553.45</v>
      </c>
      <c r="D12" s="16">
        <f>-C27/20</f>
        <v>-7175.7775</v>
      </c>
      <c r="E12" s="16">
        <f>-D27/20</f>
        <v>-6816.988625</v>
      </c>
      <c r="F12" s="16">
        <f>-E27/20</f>
        <v>-6476.13919375</v>
      </c>
    </row>
    <row r="13" ht="20.05" customHeight="1">
      <c r="B13" t="s" s="10">
        <v>12</v>
      </c>
      <c r="C13" s="15">
        <f>-MIN(0,C16)</f>
        <v>6778.920646424920</v>
      </c>
      <c r="D13" s="16">
        <f>-MIN(C28,D16)</f>
        <v>6327.216623995860</v>
      </c>
      <c r="E13" s="16">
        <f>-MIN(D28,E16)</f>
        <v>5899.331661395460</v>
      </c>
      <c r="F13" s="16">
        <f>-MIN(E28,F16)</f>
        <v>5573.683369417520</v>
      </c>
    </row>
    <row r="14" ht="20.05" customHeight="1">
      <c r="B14" t="s" s="10">
        <v>13</v>
      </c>
      <c r="C14" s="17">
        <v>0.3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-20.798294389320</v>
      </c>
      <c r="D15" s="16">
        <f>IF(D22&gt;0,-D22*$C$14,0)</f>
        <v>-52.526089716060</v>
      </c>
      <c r="E15" s="16">
        <f>IF(E22&gt;0,-E22*$C$14,0)</f>
        <v>-82.138698687660</v>
      </c>
      <c r="F15" s="16">
        <f>IF(F22&gt;0,-F22*$C$14,0)</f>
        <v>-75.623924713920</v>
      </c>
    </row>
    <row r="16" ht="20.05" customHeight="1">
      <c r="B16" t="s" s="10">
        <v>15</v>
      </c>
      <c r="C16" s="15">
        <f>C9+C10+C12+C15</f>
        <v>-6778.920646424920</v>
      </c>
      <c r="D16" s="16">
        <f>D9+D10+D12+D15</f>
        <v>-6327.216623995860</v>
      </c>
      <c r="E16" s="16">
        <f>E9+E10+E12+E15</f>
        <v>-5899.331661395460</v>
      </c>
      <c r="F16" s="16">
        <f>F9+F10+F12+F15</f>
        <v>-5573.683369417520</v>
      </c>
    </row>
    <row r="17" ht="20.05" customHeight="1">
      <c r="B17" t="s" s="10">
        <v>16</v>
      </c>
      <c r="C17" s="15">
        <f>'Balance sheet'!C32</f>
        <v>7409</v>
      </c>
      <c r="D17" s="16">
        <f>C19</f>
        <v>7409</v>
      </c>
      <c r="E17" s="16">
        <f>D19</f>
        <v>7409</v>
      </c>
      <c r="F17" s="16">
        <f>E19</f>
        <v>7409</v>
      </c>
    </row>
    <row r="18" ht="20.0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0.05" customHeight="1">
      <c r="B19" t="s" s="10">
        <v>18</v>
      </c>
      <c r="C19" s="15">
        <f>C17+C18</f>
        <v>7409</v>
      </c>
      <c r="D19" s="16">
        <f>D17+D18</f>
        <v>7409</v>
      </c>
      <c r="E19" s="16">
        <f>E17+E18</f>
        <v>7409</v>
      </c>
      <c r="F19" s="16">
        <f>F17+F18</f>
        <v>7409</v>
      </c>
    </row>
    <row r="20" ht="20.05" customHeight="1">
      <c r="B20" t="s" s="18">
        <v>19</v>
      </c>
      <c r="C20" s="19"/>
      <c r="D20" s="20"/>
      <c r="E20" s="20"/>
      <c r="F20" s="21"/>
    </row>
    <row r="21" ht="20.05" customHeight="1">
      <c r="B21" t="s" s="10">
        <v>20</v>
      </c>
      <c r="C21" s="15">
        <f>-AVERAGE('Cashflow'!D30)</f>
        <v>-812</v>
      </c>
      <c r="D21" s="16">
        <f>C21</f>
        <v>-812</v>
      </c>
      <c r="E21" s="16">
        <f>D21</f>
        <v>-812</v>
      </c>
      <c r="F21" s="16">
        <f>E21</f>
        <v>-812</v>
      </c>
    </row>
    <row r="22" ht="20.05" customHeight="1">
      <c r="B22" t="s" s="10">
        <v>21</v>
      </c>
      <c r="C22" s="15">
        <f>C6+C8+C21</f>
        <v>69.3276479644</v>
      </c>
      <c r="D22" s="16">
        <f>D6+D8+D21</f>
        <v>175.0869657202</v>
      </c>
      <c r="E22" s="16">
        <f>E6+E8+E21</f>
        <v>273.7956622922</v>
      </c>
      <c r="F22" s="16">
        <f>F6+F8+F21</f>
        <v>252.0797490464</v>
      </c>
    </row>
    <row r="23" ht="20.05" customHeight="1">
      <c r="B23" t="s" s="18">
        <v>22</v>
      </c>
      <c r="C23" s="19"/>
      <c r="D23" s="20"/>
      <c r="E23" s="20"/>
      <c r="F23" s="20"/>
    </row>
    <row r="24" ht="20.05" customHeight="1">
      <c r="B24" t="s" s="10">
        <v>23</v>
      </c>
      <c r="C24" s="15">
        <f>'Balance sheet'!F32+'Balance sheet'!E32-C10</f>
        <v>158480</v>
      </c>
      <c r="D24" s="16">
        <f>C24-D10</f>
        <v>158566</v>
      </c>
      <c r="E24" s="16">
        <f>D24-E10</f>
        <v>158652</v>
      </c>
      <c r="F24" s="16">
        <f>E24-F10</f>
        <v>158738</v>
      </c>
    </row>
    <row r="25" ht="20.05" customHeight="1">
      <c r="B25" t="s" s="10">
        <v>24</v>
      </c>
      <c r="C25" s="15">
        <f>'Balance sheet'!F32-C21</f>
        <v>30814</v>
      </c>
      <c r="D25" s="16">
        <f>C25-D21</f>
        <v>31626</v>
      </c>
      <c r="E25" s="16">
        <f>D25-E21</f>
        <v>32438</v>
      </c>
      <c r="F25" s="16">
        <f>E25-F21</f>
        <v>33250</v>
      </c>
    </row>
    <row r="26" ht="20.05" customHeight="1">
      <c r="B26" t="s" s="10">
        <v>25</v>
      </c>
      <c r="C26" s="15">
        <f>C24-C25</f>
        <v>127666</v>
      </c>
      <c r="D26" s="16">
        <f>D24-D25</f>
        <v>126940</v>
      </c>
      <c r="E26" s="16">
        <f>E24-E25</f>
        <v>126214</v>
      </c>
      <c r="F26" s="16">
        <f>F24-F25</f>
        <v>125488</v>
      </c>
    </row>
    <row r="27" ht="20.05" customHeight="1">
      <c r="B27" t="s" s="10">
        <v>11</v>
      </c>
      <c r="C27" s="15">
        <f>'Balance sheet'!G32+C12</f>
        <v>143515.55</v>
      </c>
      <c r="D27" s="16">
        <f>C27+D12</f>
        <v>136339.7725</v>
      </c>
      <c r="E27" s="16">
        <f>D27+E12</f>
        <v>129522.783875</v>
      </c>
      <c r="F27" s="16">
        <f>E27+F12</f>
        <v>123046.64468125</v>
      </c>
    </row>
    <row r="28" ht="20.05" customHeight="1">
      <c r="B28" t="s" s="10">
        <v>12</v>
      </c>
      <c r="C28" s="15">
        <f>C13</f>
        <v>6778.920646424920</v>
      </c>
      <c r="D28" s="16">
        <f>C28+D13</f>
        <v>13106.1372704208</v>
      </c>
      <c r="E28" s="16">
        <f>D28+E13</f>
        <v>19005.4689318163</v>
      </c>
      <c r="F28" s="16">
        <f>E28+F13</f>
        <v>24579.1523012338</v>
      </c>
    </row>
    <row r="29" ht="20.05" customHeight="1">
      <c r="B29" t="s" s="10">
        <v>26</v>
      </c>
      <c r="C29" s="15">
        <f>'Balance sheet'!H32+C22+C15</f>
        <v>-15219.4706464249</v>
      </c>
      <c r="D29" s="16">
        <f>C29+D22+D15</f>
        <v>-15096.9097704208</v>
      </c>
      <c r="E29" s="16">
        <f>D29+E22+E15</f>
        <v>-14905.2528068163</v>
      </c>
      <c r="F29" s="16">
        <f>E29+F22+F15</f>
        <v>-14728.7969824838</v>
      </c>
    </row>
    <row r="30" ht="20.05" customHeight="1">
      <c r="B30" t="s" s="10">
        <v>27</v>
      </c>
      <c r="C30" s="15">
        <f>C27+C28+C29-C19-C26</f>
        <v>2e-11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28</v>
      </c>
      <c r="C31" s="15">
        <f>C19-C27-C28</f>
        <v>-142885.470646425</v>
      </c>
      <c r="D31" s="16">
        <f>D19-D27-D28</f>
        <v>-142036.909770421</v>
      </c>
      <c r="E31" s="16">
        <f>E19-E27-E28</f>
        <v>-141119.252806816</v>
      </c>
      <c r="F31" s="16">
        <f>F19-F27-F28</f>
        <v>-140216.796982484</v>
      </c>
    </row>
    <row r="32" ht="20.05" customHeight="1">
      <c r="B32" t="s" s="10">
        <v>29</v>
      </c>
      <c r="C32" s="15"/>
      <c r="D32" s="16"/>
      <c r="E32" s="16"/>
      <c r="F32" s="16"/>
    </row>
    <row r="33" ht="20.05" customHeight="1">
      <c r="B33" t="s" s="10">
        <v>30</v>
      </c>
      <c r="C33" s="15">
        <f>'Cashflow'!N32-C11</f>
        <v>6676.3276479644</v>
      </c>
      <c r="D33" s="16">
        <f>C33-D11</f>
        <v>7577.4146136846</v>
      </c>
      <c r="E33" s="16">
        <f>D33-E11</f>
        <v>8577.2102759768</v>
      </c>
      <c r="F33" s="16">
        <f>E33-F11</f>
        <v>9555.2900250232</v>
      </c>
    </row>
    <row r="34" ht="20.05" customHeight="1">
      <c r="B34" t="s" s="10">
        <v>31</v>
      </c>
      <c r="C34" s="15"/>
      <c r="D34" s="16"/>
      <c r="E34" s="16"/>
      <c r="F34" s="16">
        <v>70641336320</v>
      </c>
    </row>
    <row r="35" ht="20.05" customHeight="1">
      <c r="B35" t="s" s="10">
        <v>31</v>
      </c>
      <c r="C35" s="15"/>
      <c r="D35" s="16"/>
      <c r="E35" s="16"/>
      <c r="F35" s="16">
        <f>F34/1000000</f>
        <v>70641.33632</v>
      </c>
    </row>
    <row r="36" ht="20.05" customHeight="1">
      <c r="B36" t="s" s="10">
        <v>32</v>
      </c>
      <c r="C36" s="15"/>
      <c r="D36" s="16"/>
      <c r="E36" s="16"/>
      <c r="F36" s="22">
        <f>F35/(F19+F26)</f>
        <v>0.531549518198304</v>
      </c>
    </row>
    <row r="37" ht="20.05" customHeight="1">
      <c r="B37" t="s" s="10">
        <v>33</v>
      </c>
      <c r="C37" s="15"/>
      <c r="D37" s="16"/>
      <c r="E37" s="16"/>
      <c r="F37" s="23">
        <f>-(C15+D15+E15+F15)/F35</f>
        <v>0.00327127174463621</v>
      </c>
    </row>
    <row r="38" ht="20.05" customHeight="1">
      <c r="B38" t="s" s="10">
        <v>3</v>
      </c>
      <c r="C38" s="15"/>
      <c r="D38" s="16"/>
      <c r="E38" s="16"/>
      <c r="F38" s="16">
        <f>SUM(C9:F10)</f>
        <v>3674.2900250232</v>
      </c>
    </row>
    <row r="39" ht="20.05" customHeight="1">
      <c r="B39" t="s" s="10">
        <v>34</v>
      </c>
      <c r="C39" s="15"/>
      <c r="D39" s="16"/>
      <c r="E39" s="16"/>
      <c r="F39" s="16">
        <f>'Balance sheet'!E32/F38</f>
        <v>34.943349361538</v>
      </c>
    </row>
    <row r="40" ht="20.05" customHeight="1">
      <c r="B40" t="s" s="10">
        <v>29</v>
      </c>
      <c r="C40" s="15"/>
      <c r="D40" s="16"/>
      <c r="E40" s="16"/>
      <c r="F40" s="16">
        <f>F35/F38</f>
        <v>19.2258465823078</v>
      </c>
    </row>
    <row r="41" ht="20.05" customHeight="1">
      <c r="B41" t="s" s="10">
        <v>35</v>
      </c>
      <c r="C41" s="15"/>
      <c r="D41" s="16"/>
      <c r="E41" s="16"/>
      <c r="F41" s="16">
        <v>25</v>
      </c>
    </row>
    <row r="42" ht="20.05" customHeight="1">
      <c r="B42" t="s" s="10">
        <v>36</v>
      </c>
      <c r="C42" s="15"/>
      <c r="D42" s="16"/>
      <c r="E42" s="16"/>
      <c r="F42" s="16">
        <f>F38*F41</f>
        <v>91857.25062558</v>
      </c>
    </row>
    <row r="43" ht="20.05" customHeight="1">
      <c r="B43" t="s" s="10">
        <v>37</v>
      </c>
      <c r="C43" s="15"/>
      <c r="D43" s="16"/>
      <c r="E43" s="16"/>
      <c r="F43" s="16">
        <f>F35/F45</f>
        <v>591.635982579564</v>
      </c>
    </row>
    <row r="44" ht="20.05" customHeight="1">
      <c r="B44" t="s" s="10">
        <v>38</v>
      </c>
      <c r="C44" s="15"/>
      <c r="D44" s="16"/>
      <c r="E44" s="16"/>
      <c r="F44" s="16">
        <f>F42/F43</f>
        <v>155.259743035029</v>
      </c>
    </row>
    <row r="45" ht="20.05" customHeight="1">
      <c r="B45" t="s" s="10">
        <v>39</v>
      </c>
      <c r="C45" s="15"/>
      <c r="D45" s="16"/>
      <c r="E45" s="16"/>
      <c r="F45" s="16">
        <v>119.4</v>
      </c>
    </row>
    <row r="46" ht="20.05" customHeight="1">
      <c r="B46" t="s" s="10">
        <v>40</v>
      </c>
      <c r="C46" s="15"/>
      <c r="D46" s="16"/>
      <c r="E46" s="16"/>
      <c r="F46" s="23">
        <f>F44/F45-1</f>
        <v>0.300332856239774</v>
      </c>
    </row>
    <row r="47" ht="20.05" customHeight="1">
      <c r="B47" t="s" s="10">
        <v>41</v>
      </c>
      <c r="C47" s="15"/>
      <c r="D47" s="16"/>
      <c r="E47" s="16"/>
      <c r="F47" s="23">
        <f>'Sales'!C32/'Sales'!C28-1</f>
        <v>-0.0805677860287836</v>
      </c>
    </row>
    <row r="48" ht="20.05" customHeight="1">
      <c r="B48" t="s" s="10">
        <v>42</v>
      </c>
      <c r="C48" s="15"/>
      <c r="D48" s="16"/>
      <c r="E48" s="16"/>
      <c r="F48" s="23">
        <f>'Sales'!F35/'Sales'!E35-1</f>
        <v>0.107216979928017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2812" style="24" customWidth="1"/>
    <col min="2" max="2" width="12.5859" style="24" customWidth="1"/>
    <col min="3" max="8" width="12.1953" style="24" customWidth="1"/>
    <col min="9" max="16384" width="16.3516" style="24" customWidth="1"/>
  </cols>
  <sheetData>
    <row r="1" ht="31.8" customHeight="1"/>
    <row r="2" ht="27.65" customHeight="1">
      <c r="B2" t="s" s="2">
        <v>5</v>
      </c>
      <c r="C2" s="2"/>
      <c r="D2" s="2"/>
      <c r="E2" s="2"/>
      <c r="F2" s="2"/>
      <c r="G2" s="2"/>
      <c r="H2" s="2"/>
    </row>
    <row r="3" ht="20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6</v>
      </c>
      <c r="G3" t="s" s="5">
        <v>6</v>
      </c>
      <c r="H3" t="s" s="5">
        <v>35</v>
      </c>
    </row>
    <row r="4" ht="22.3" customHeight="1">
      <c r="B4" s="25">
        <v>2015</v>
      </c>
      <c r="C4" s="26">
        <v>22149</v>
      </c>
      <c r="D4" s="27"/>
      <c r="E4" s="28"/>
      <c r="F4" s="28">
        <f>('Cashflow'!C4+'Cashflow'!D4-C4)/C4</f>
        <v>-0.918957966499616</v>
      </c>
      <c r="G4" s="28"/>
      <c r="H4" s="28"/>
    </row>
    <row r="5" ht="22.05" customHeight="1">
      <c r="B5" s="29"/>
      <c r="C5" s="13">
        <v>24543</v>
      </c>
      <c r="D5" s="14"/>
      <c r="E5" s="23">
        <f>C5/C4-1</f>
        <v>0.108086143843966</v>
      </c>
      <c r="F5" s="23">
        <f>('Cashflow'!C5+'Cashflow'!D5-C5)/C5</f>
        <v>-0.936315853807603</v>
      </c>
      <c r="G5" s="23"/>
      <c r="H5" s="23"/>
    </row>
    <row r="6" ht="22.05" customHeight="1">
      <c r="B6" s="29"/>
      <c r="C6" s="13">
        <v>25849</v>
      </c>
      <c r="D6" s="14"/>
      <c r="E6" s="23">
        <f>C6/C5-1</f>
        <v>0.0532127286802754</v>
      </c>
      <c r="F6" s="23">
        <f>('Cashflow'!C6+'Cashflow'!D6-C6)/C6</f>
        <v>-0.917172811327324</v>
      </c>
      <c r="G6" s="23"/>
      <c r="H6" s="23"/>
    </row>
    <row r="7" ht="22.05" customHeight="1">
      <c r="B7" s="29"/>
      <c r="C7" s="13">
        <v>23573</v>
      </c>
      <c r="D7" s="14"/>
      <c r="E7" s="23">
        <f>C7/C6-1</f>
        <v>-0.0880498278463383</v>
      </c>
      <c r="F7" s="23">
        <f>('Cashflow'!C7+'Cashflow'!D7-C7)/C7</f>
        <v>-0.93594366436177</v>
      </c>
      <c r="G7" s="12"/>
      <c r="H7" s="12"/>
    </row>
    <row r="8" ht="22.05" customHeight="1">
      <c r="B8" s="30">
        <v>2016</v>
      </c>
      <c r="C8" s="13">
        <v>22632</v>
      </c>
      <c r="D8" s="14"/>
      <c r="E8" s="23">
        <f>C8/C7-1</f>
        <v>-0.0399185508844865</v>
      </c>
      <c r="F8" s="23">
        <f>('Cashflow'!C8+'Cashflow'!D8-C8)/C8</f>
        <v>-0.926564156945917</v>
      </c>
      <c r="G8" s="12">
        <f>AVERAGE(F5:F8)</f>
        <v>-0.928999121610654</v>
      </c>
      <c r="H8" s="12"/>
    </row>
    <row r="9" ht="22.05" customHeight="1">
      <c r="B9" s="29"/>
      <c r="C9" s="13">
        <v>24755</v>
      </c>
      <c r="D9" s="14"/>
      <c r="E9" s="23">
        <f>C9/C8-1</f>
        <v>0.0938052315305762</v>
      </c>
      <c r="F9" s="23">
        <f>('Cashflow'!C9+'Cashflow'!D9-C9)/C9</f>
        <v>-0.991395677640881</v>
      </c>
      <c r="G9" s="12">
        <f>AVERAGE(F6:F9)</f>
        <v>-0.942769077568973</v>
      </c>
      <c r="H9" s="12"/>
    </row>
    <row r="10" ht="22.05" customHeight="1">
      <c r="B10" s="29"/>
      <c r="C10" s="13">
        <v>23898</v>
      </c>
      <c r="D10" s="14"/>
      <c r="E10" s="23">
        <f>C10/C9-1</f>
        <v>-0.0346192688345789</v>
      </c>
      <c r="F10" s="23">
        <f>('Cashflow'!C10+'Cashflow'!D10-C10)/C10</f>
        <v>-0.884802075487488</v>
      </c>
      <c r="G10" s="12">
        <f>AVERAGE(F7:F10)</f>
        <v>-0.934676393609014</v>
      </c>
      <c r="H10" s="12"/>
    </row>
    <row r="11" ht="22.05" customHeight="1">
      <c r="B11" s="29"/>
      <c r="C11" s="13">
        <v>23286</v>
      </c>
      <c r="D11" s="14"/>
      <c r="E11" s="23">
        <f>C11/C10-1</f>
        <v>-0.0256088375596284</v>
      </c>
      <c r="F11" s="23">
        <f>('Cashflow'!C11+'Cashflow'!D11-C11)/C11</f>
        <v>-0.906510349566263</v>
      </c>
      <c r="G11" s="12">
        <f>AVERAGE(F8:F11)</f>
        <v>-0.927318064910137</v>
      </c>
      <c r="H11" s="12"/>
    </row>
    <row r="12" ht="22.05" customHeight="1">
      <c r="B12" s="30">
        <v>2017</v>
      </c>
      <c r="C12" s="13">
        <v>21961</v>
      </c>
      <c r="D12" s="14"/>
      <c r="E12" s="23">
        <f>C12/C11-1</f>
        <v>-0.0569011423172722</v>
      </c>
      <c r="F12" s="23">
        <f>('Cashflow'!C12+'Cashflow'!D12-C12)/C12</f>
        <v>-0.9067893083192931</v>
      </c>
      <c r="G12" s="12">
        <f>AVERAGE(F9:F12)</f>
        <v>-0.922374352753481</v>
      </c>
      <c r="H12" s="12"/>
    </row>
    <row r="13" ht="22.05" customHeight="1">
      <c r="B13" s="29"/>
      <c r="C13" s="13">
        <v>23051</v>
      </c>
      <c r="D13" s="14"/>
      <c r="E13" s="23">
        <f>C13/C12-1</f>
        <v>0.0496334411001321</v>
      </c>
      <c r="F13" s="23">
        <f>('Cashflow'!C13+'Cashflow'!D13-C13)/C13</f>
        <v>-0.902954318684656</v>
      </c>
      <c r="G13" s="12">
        <f>AVERAGE(F10:F13)</f>
        <v>-0.900264013014425</v>
      </c>
      <c r="H13" s="12"/>
    </row>
    <row r="14" ht="22.05" customHeight="1">
      <c r="B14" s="29"/>
      <c r="C14" s="13">
        <v>24223</v>
      </c>
      <c r="D14" s="14"/>
      <c r="E14" s="23">
        <f>C14/C13-1</f>
        <v>0.0508437811808598</v>
      </c>
      <c r="F14" s="23">
        <f>('Cashflow'!C14+'Cashflow'!D14-C14)/C14</f>
        <v>-0.904058126573917</v>
      </c>
      <c r="G14" s="12">
        <f>AVERAGE(F11:F14)</f>
        <v>-0.905078025786032</v>
      </c>
      <c r="H14" s="12"/>
    </row>
    <row r="15" ht="22.05" customHeight="1">
      <c r="B15" s="29"/>
      <c r="C15" s="13">
        <v>24770</v>
      </c>
      <c r="D15" s="14"/>
      <c r="E15" s="23">
        <f>C15/C14-1</f>
        <v>0.0225818437022664</v>
      </c>
      <c r="F15" s="23">
        <f>('Cashflow'!C15+'Cashflow'!D15-C15)/C15</f>
        <v>-0.8426725878078321</v>
      </c>
      <c r="G15" s="12">
        <f>AVERAGE(F12:F15)</f>
        <v>-0.889118585346425</v>
      </c>
      <c r="H15" s="12"/>
    </row>
    <row r="16" ht="22.05" customHeight="1">
      <c r="B16" s="30">
        <v>2018</v>
      </c>
      <c r="C16" s="13">
        <v>23382</v>
      </c>
      <c r="D16" s="14"/>
      <c r="E16" s="23">
        <f>C16/C15-1</f>
        <v>-0.0560355268469923</v>
      </c>
      <c r="F16" s="23">
        <f>('Cashflow'!C16+'Cashflow'!D16-C16)/C16</f>
        <v>-0.87263707125139</v>
      </c>
      <c r="G16" s="12">
        <f>AVERAGE(F13:F16)</f>
        <v>-0.880580526079449</v>
      </c>
      <c r="H16" s="12"/>
    </row>
    <row r="17" ht="22.05" customHeight="1">
      <c r="B17" s="29"/>
      <c r="C17" s="13">
        <v>24258</v>
      </c>
      <c r="D17" s="14"/>
      <c r="E17" s="23">
        <f>C17/C16-1</f>
        <v>0.0374647164485502</v>
      </c>
      <c r="F17" s="23">
        <f>('Cashflow'!C17+'Cashflow'!D17-C17)/C17</f>
        <v>-0.888572841949048</v>
      </c>
      <c r="G17" s="12">
        <f>AVERAGE(F14:F17)</f>
        <v>-0.876985156895547</v>
      </c>
      <c r="H17" s="12"/>
    </row>
    <row r="18" ht="22.05" customHeight="1">
      <c r="B18" s="29"/>
      <c r="C18" s="13">
        <v>25146</v>
      </c>
      <c r="D18" s="14"/>
      <c r="E18" s="23">
        <f>C18/C17-1</f>
        <v>0.0366064803363839</v>
      </c>
      <c r="F18" s="23">
        <f>('Cashflow'!C18+'Cashflow'!D18-C18)/C18</f>
        <v>-0.885230255308995</v>
      </c>
      <c r="G18" s="12">
        <f>AVERAGE(F15:F18)</f>
        <v>-0.872278189079316</v>
      </c>
      <c r="H18" s="12"/>
    </row>
    <row r="19" ht="22.05" customHeight="1">
      <c r="B19" s="29"/>
      <c r="C19" s="13">
        <v>28341</v>
      </c>
      <c r="D19" s="14"/>
      <c r="E19" s="23">
        <f>C19/C18-1</f>
        <v>0.12705798138869</v>
      </c>
      <c r="F19" s="23">
        <f>('Cashflow'!C19+'Cashflow'!D19-C19)/C19</f>
        <v>-0.858614727779542</v>
      </c>
      <c r="G19" s="12">
        <f>AVERAGE(F16:F19)</f>
        <v>-0.876263724072244</v>
      </c>
      <c r="H19" s="12"/>
    </row>
    <row r="20" ht="22.05" customHeight="1">
      <c r="B20" s="30">
        <v>2019</v>
      </c>
      <c r="C20" s="13">
        <v>22917</v>
      </c>
      <c r="D20" s="14"/>
      <c r="E20" s="23">
        <f>C20/C19-1</f>
        <v>-0.191383507991955</v>
      </c>
      <c r="F20" s="23">
        <f>('Cashflow'!C20+'Cashflow'!D20-C20)/C20</f>
        <v>-0.883492603743946</v>
      </c>
      <c r="G20" s="12">
        <f>AVERAGE(F17:F20)</f>
        <v>-0.878977607195383</v>
      </c>
      <c r="H20" s="12"/>
    </row>
    <row r="21" ht="22.05" customHeight="1">
      <c r="B21" s="29"/>
      <c r="C21" s="13">
        <v>15751</v>
      </c>
      <c r="D21" s="14"/>
      <c r="E21" s="23">
        <f>C21/C20-1</f>
        <v>-0.312693633547148</v>
      </c>
      <c r="F21" s="23">
        <f>('Cashflow'!C21+'Cashflow'!D21-C21)/C21</f>
        <v>-0.778553742619516</v>
      </c>
      <c r="G21" s="12">
        <f>AVERAGE(F18:F21)</f>
        <v>-0.851472832363</v>
      </c>
      <c r="H21" s="12"/>
    </row>
    <row r="22" ht="22.05" customHeight="1">
      <c r="B22" s="29"/>
      <c r="C22" s="13">
        <v>19980</v>
      </c>
      <c r="D22" s="14"/>
      <c r="E22" s="23">
        <f>C22/C21-1</f>
        <v>0.268490889467335</v>
      </c>
      <c r="F22" s="23">
        <f>('Cashflow'!C22+'Cashflow'!D22-C22)/C22</f>
        <v>-0.912762762762763</v>
      </c>
      <c r="G22" s="12">
        <f>AVERAGE(F19:F22)</f>
        <v>-0.858355959226442</v>
      </c>
      <c r="H22" s="12"/>
    </row>
    <row r="23" ht="22.05" customHeight="1">
      <c r="B23" s="29"/>
      <c r="C23" s="13">
        <v>17911</v>
      </c>
      <c r="D23" s="14"/>
      <c r="E23" s="23">
        <f>C23/C22-1</f>
        <v>-0.103553553553554</v>
      </c>
      <c r="F23" s="23">
        <f>('Cashflow'!C23+'Cashflow'!D23-C23)/C23</f>
        <v>-1.3498408799062</v>
      </c>
      <c r="G23" s="12">
        <f>AVERAGE(F20:F23)</f>
        <v>-0.981162497258106</v>
      </c>
      <c r="H23" s="12"/>
    </row>
    <row r="24" ht="22.05" customHeight="1">
      <c r="B24" s="30">
        <v>2020</v>
      </c>
      <c r="C24" s="13">
        <v>16908</v>
      </c>
      <c r="D24" s="14"/>
      <c r="E24" s="23">
        <f>C24/C23-1</f>
        <v>-0.0559991066942103</v>
      </c>
      <c r="F24" s="23">
        <f>('Cashflow'!C24+'Cashflow'!D24-C24)/C24</f>
        <v>-0.997693399574166</v>
      </c>
      <c r="G24" s="12">
        <f>AVERAGE(F21:F24)</f>
        <v>-1.00971269621566</v>
      </c>
      <c r="H24" s="12"/>
    </row>
    <row r="25" ht="22.05" customHeight="1">
      <c r="B25" s="29"/>
      <c r="C25" s="13">
        <v>11807</v>
      </c>
      <c r="D25" s="14">
        <v>14175.9</v>
      </c>
      <c r="E25" s="23">
        <f>C25/C24-1</f>
        <v>-0.301691506978945</v>
      </c>
      <c r="F25" s="23">
        <f>('Cashflow'!C25+'Cashflow'!D25-C25)/C25</f>
        <v>-1.07156771406793</v>
      </c>
      <c r="G25" s="12">
        <f>AVERAGE(F22:F25)</f>
        <v>-1.08296618907776</v>
      </c>
      <c r="H25" s="12"/>
    </row>
    <row r="26" ht="22.05" customHeight="1">
      <c r="B26" s="29"/>
      <c r="C26" s="13">
        <v>14139</v>
      </c>
      <c r="D26" s="14">
        <v>11807</v>
      </c>
      <c r="E26" s="23">
        <f>C26/C25-1</f>
        <v>0.197509951723554</v>
      </c>
      <c r="F26" s="23">
        <f>('Cashflow'!C26+'Cashflow'!D26-C26)/C26</f>
        <v>-0.987198528891718</v>
      </c>
      <c r="G26" s="12">
        <f>AVERAGE(F23:F26)</f>
        <v>-1.101575130610</v>
      </c>
      <c r="H26" s="12"/>
    </row>
    <row r="27" ht="22.05" customHeight="1">
      <c r="B27" s="29"/>
      <c r="C27" s="13">
        <v>15304</v>
      </c>
      <c r="D27" s="14">
        <v>16966.8</v>
      </c>
      <c r="E27" s="23">
        <f>C27/C26-1</f>
        <v>0.08239620906711929</v>
      </c>
      <c r="F27" s="23">
        <f>('Cashflow'!C27+'Cashflow'!D27-C27)/C27</f>
        <v>-1.04260324098275</v>
      </c>
      <c r="G27" s="12">
        <f>AVERAGE(F24:F27)</f>
        <v>-1.02476572087914</v>
      </c>
      <c r="H27" s="12"/>
    </row>
    <row r="28" ht="22.05" customHeight="1">
      <c r="B28" s="30">
        <v>2021</v>
      </c>
      <c r="C28" s="15">
        <v>15217</v>
      </c>
      <c r="D28" s="14">
        <v>16681.36</v>
      </c>
      <c r="E28" s="23">
        <f>C28/C27-1</f>
        <v>-0.00568478829064297</v>
      </c>
      <c r="F28" s="23">
        <f>('Cashflow'!C28+'Cashflow'!D28-C28)/C28</f>
        <v>-0.9576131957678909</v>
      </c>
      <c r="G28" s="12">
        <f>AVERAGE(F25:F28)</f>
        <v>-1.01474566992757</v>
      </c>
      <c r="H28" s="12"/>
    </row>
    <row r="29" ht="22.05" customHeight="1">
      <c r="B29" s="29"/>
      <c r="C29" s="13">
        <v>16998</v>
      </c>
      <c r="D29" s="14">
        <v>16738.7</v>
      </c>
      <c r="E29" s="23">
        <f>C29/C28-1</f>
        <v>0.117040152461063</v>
      </c>
      <c r="F29" s="23">
        <f>('Cashflow'!C29+'Cashflow'!D29-C29)/C29</f>
        <v>-0.912283798093893</v>
      </c>
      <c r="G29" s="12">
        <f>AVERAGE(F26:F29)</f>
        <v>-0.974924690934063</v>
      </c>
      <c r="H29" s="12"/>
    </row>
    <row r="30" ht="22.05" customHeight="1">
      <c r="B30" s="29"/>
      <c r="C30" s="13">
        <v>15278</v>
      </c>
      <c r="D30" s="14">
        <v>21247.5</v>
      </c>
      <c r="E30" s="23">
        <f>C30/C29-1</f>
        <v>-0.101188375102953</v>
      </c>
      <c r="F30" s="23">
        <f>('Cashflow'!C30+'Cashflow'!D30-C30)/C30</f>
        <v>-0.955491556486451</v>
      </c>
      <c r="G30" s="12">
        <f>AVERAGE(F27:F30)</f>
        <v>-0.966997947832746</v>
      </c>
      <c r="H30" s="12"/>
    </row>
    <row r="31" ht="22.05" customHeight="1">
      <c r="B31" s="29"/>
      <c r="C31" s="13">
        <v>14793</v>
      </c>
      <c r="D31" s="14">
        <v>17569.7</v>
      </c>
      <c r="E31" s="23">
        <f>C31/C30-1</f>
        <v>-0.0317449928001047</v>
      </c>
      <c r="F31" s="23">
        <f>('Cashflow'!C31+'Cashflow'!D31-C31)/C31</f>
        <v>-0.949638342459271</v>
      </c>
      <c r="G31" s="12">
        <f>AVERAGE(F28:F31)</f>
        <v>-0.943756723201877</v>
      </c>
      <c r="H31" s="12"/>
    </row>
    <row r="32" ht="22.05" customHeight="1">
      <c r="B32" s="30">
        <v>2022</v>
      </c>
      <c r="C32" s="13">
        <v>13991</v>
      </c>
      <c r="D32" s="14">
        <v>14940.93</v>
      </c>
      <c r="E32" s="23">
        <f>C32/C31-1</f>
        <v>-0.0542148313391469</v>
      </c>
      <c r="F32" s="23">
        <f>('Cashflow'!C32+'Cashflow'!D32-C32)/C32</f>
        <v>-0.99499678364663</v>
      </c>
      <c r="G32" s="12">
        <f>AVERAGE(F29:F32)</f>
        <v>-0.953102620171561</v>
      </c>
      <c r="H32" s="12">
        <v>-0.912283798093893</v>
      </c>
    </row>
    <row r="33" ht="22.05" customHeight="1">
      <c r="B33" s="29"/>
      <c r="C33" s="13"/>
      <c r="D33" s="14">
        <f>'Model'!C6</f>
        <v>15669.92</v>
      </c>
      <c r="E33" s="12"/>
      <c r="F33" s="12"/>
      <c r="G33" s="12"/>
      <c r="H33" s="12">
        <f>'Model'!C7</f>
        <v>-0.943756723201877</v>
      </c>
    </row>
    <row r="34" ht="22.05" customHeight="1">
      <c r="B34" s="29"/>
      <c r="C34" s="13"/>
      <c r="D34" s="14">
        <f>'Model'!D6</f>
        <v>17550.3104</v>
      </c>
      <c r="E34" s="12"/>
      <c r="F34" s="12"/>
      <c r="G34" s="12"/>
      <c r="H34" s="12"/>
    </row>
    <row r="35" ht="22.05" customHeight="1">
      <c r="B35" s="29"/>
      <c r="C35" s="13"/>
      <c r="D35" s="14">
        <f>'Model'!E6</f>
        <v>19305.34144</v>
      </c>
      <c r="E35" s="16">
        <f>SUM(C25:C32)</f>
        <v>117527</v>
      </c>
      <c r="F35" s="16">
        <f>SUM(D25:D32)</f>
        <v>130127.89</v>
      </c>
      <c r="G35" s="12"/>
      <c r="H35" s="12"/>
    </row>
    <row r="36" ht="22.05" customHeight="1">
      <c r="B36" s="30">
        <v>2023</v>
      </c>
      <c r="C36" s="13"/>
      <c r="D36" s="14">
        <f>'Model'!F6</f>
        <v>18919.2346112</v>
      </c>
      <c r="E36" s="12"/>
      <c r="F36" s="12"/>
      <c r="G36" s="12"/>
      <c r="H36" s="12"/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0156" style="31" customWidth="1"/>
    <col min="2" max="2" width="9.07812" style="31" customWidth="1"/>
    <col min="3" max="3" width="9.125" style="31" customWidth="1"/>
    <col min="4" max="4" width="9.75781" style="31" customWidth="1"/>
    <col min="5" max="16" width="9.125" style="31" customWidth="1"/>
    <col min="17" max="16384" width="16.3516" style="31" customWidth="1"/>
  </cols>
  <sheetData>
    <row r="1" ht="29.8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8.95" customHeight="1">
      <c r="B3" t="s" s="5">
        <v>1</v>
      </c>
      <c r="C3" t="s" s="5">
        <v>44</v>
      </c>
      <c r="D3" t="s" s="5">
        <v>20</v>
      </c>
      <c r="E3" t="s" s="5">
        <v>45</v>
      </c>
      <c r="F3" t="s" s="5">
        <v>8</v>
      </c>
      <c r="G3" t="s" s="5">
        <v>9</v>
      </c>
      <c r="H3" t="s" s="5">
        <v>11</v>
      </c>
      <c r="I3" t="s" s="5">
        <v>26</v>
      </c>
      <c r="J3" t="s" s="5">
        <v>46</v>
      </c>
      <c r="K3" t="s" s="5">
        <v>47</v>
      </c>
      <c r="L3" t="s" s="5">
        <v>3</v>
      </c>
      <c r="M3" t="s" s="5">
        <v>35</v>
      </c>
      <c r="N3" t="s" s="5">
        <v>48</v>
      </c>
      <c r="O3" t="s" s="5">
        <v>35</v>
      </c>
      <c r="P3" s="32"/>
    </row>
    <row r="4" ht="20.35" customHeight="1">
      <c r="B4" s="25">
        <v>2015</v>
      </c>
      <c r="C4" s="33">
        <v>1336</v>
      </c>
      <c r="D4" s="34">
        <v>459</v>
      </c>
      <c r="E4" s="34">
        <f>F4-D4-C4</f>
        <v>-1707</v>
      </c>
      <c r="F4" s="34">
        <v>88</v>
      </c>
      <c r="G4" s="34">
        <v>-214</v>
      </c>
      <c r="H4" s="34"/>
      <c r="I4" s="34"/>
      <c r="J4" s="34">
        <v>-2935</v>
      </c>
      <c r="K4" s="34">
        <f>F4+G4</f>
        <v>-126</v>
      </c>
      <c r="L4" s="34"/>
      <c r="M4" s="34"/>
      <c r="N4" s="34">
        <f>-J4</f>
        <v>2935</v>
      </c>
      <c r="O4" s="34"/>
      <c r="P4" s="34">
        <f>1</f>
        <v>1</v>
      </c>
    </row>
    <row r="5" ht="20.15" customHeight="1">
      <c r="B5" s="29"/>
      <c r="C5" s="15">
        <v>1110</v>
      </c>
      <c r="D5" s="16">
        <v>453</v>
      </c>
      <c r="E5" s="16">
        <f>F5-D5-C5</f>
        <v>1734</v>
      </c>
      <c r="F5" s="16">
        <f>3385-F4</f>
        <v>3297</v>
      </c>
      <c r="G5" s="16">
        <f>-412-G4</f>
        <v>-198</v>
      </c>
      <c r="H5" s="16"/>
      <c r="I5" s="16"/>
      <c r="J5" s="16">
        <f>-5540-J4</f>
        <v>-2605</v>
      </c>
      <c r="K5" s="16">
        <f>F5+G5</f>
        <v>3099</v>
      </c>
      <c r="L5" s="16"/>
      <c r="M5" s="16"/>
      <c r="N5" s="16">
        <f>-J5+N4</f>
        <v>5540</v>
      </c>
      <c r="O5" s="16"/>
      <c r="P5" s="16">
        <f>1+P4</f>
        <v>2</v>
      </c>
    </row>
    <row r="6" ht="20.15" customHeight="1">
      <c r="B6" s="29"/>
      <c r="C6" s="15">
        <v>1704</v>
      </c>
      <c r="D6" s="16">
        <v>437</v>
      </c>
      <c r="E6" s="16">
        <f>F6-D6-C6</f>
        <v>718</v>
      </c>
      <c r="F6" s="16">
        <f>6244-SUM(F4:F5)</f>
        <v>2859</v>
      </c>
      <c r="G6" s="16">
        <f>-965-SUM(G4:G5)</f>
        <v>-553</v>
      </c>
      <c r="H6" s="16"/>
      <c r="I6" s="16"/>
      <c r="J6" s="16">
        <f>-7609-SUM(J4:J5)</f>
        <v>-2069</v>
      </c>
      <c r="K6" s="16">
        <f>F6+G6</f>
        <v>2306</v>
      </c>
      <c r="L6" s="16"/>
      <c r="M6" s="16"/>
      <c r="N6" s="16">
        <f>-J6+N5</f>
        <v>7609</v>
      </c>
      <c r="O6" s="16"/>
      <c r="P6" s="16">
        <f>1+P5</f>
        <v>3</v>
      </c>
    </row>
    <row r="7" ht="20.15" customHeight="1">
      <c r="B7" s="29"/>
      <c r="C7" s="15">
        <f>5176-SUM(C4:C6)</f>
        <v>1026</v>
      </c>
      <c r="D7" s="16">
        <v>484</v>
      </c>
      <c r="E7" s="16">
        <f>F7-D7-C7</f>
        <v>1609</v>
      </c>
      <c r="F7" s="16">
        <f>9363-SUM(F4:F6)</f>
        <v>3119</v>
      </c>
      <c r="G7" s="16">
        <f>-1846-SUM(G4:G6)</f>
        <v>-881</v>
      </c>
      <c r="H7" s="16"/>
      <c r="I7" s="16"/>
      <c r="J7" s="16">
        <f>-7920-SUM(J4:J6)</f>
        <v>-311</v>
      </c>
      <c r="K7" s="16">
        <f>F7+G7</f>
        <v>2238</v>
      </c>
      <c r="L7" s="16"/>
      <c r="M7" s="16"/>
      <c r="N7" s="16">
        <f>-J7+N6</f>
        <v>7920</v>
      </c>
      <c r="O7" s="16"/>
      <c r="P7" s="16">
        <f>1+P6</f>
        <v>4</v>
      </c>
    </row>
    <row r="8" ht="20.15" customHeight="1">
      <c r="B8" s="30">
        <v>2016</v>
      </c>
      <c r="C8" s="15">
        <v>1219</v>
      </c>
      <c r="D8" s="16">
        <v>443</v>
      </c>
      <c r="E8" s="16">
        <f>F8-D8-C8</f>
        <v>-387</v>
      </c>
      <c r="F8" s="16">
        <v>1275</v>
      </c>
      <c r="G8" s="16">
        <v>-438</v>
      </c>
      <c r="H8" s="16"/>
      <c r="I8" s="16"/>
      <c r="J8" s="16">
        <v>-4265</v>
      </c>
      <c r="K8" s="16">
        <f>F8+G8</f>
        <v>837</v>
      </c>
      <c r="L8" s="16">
        <f>AVERAGE(K5:K8)</f>
        <v>2120</v>
      </c>
      <c r="M8" s="16"/>
      <c r="N8" s="16">
        <f>-J8+N7</f>
        <v>12185</v>
      </c>
      <c r="O8" s="16"/>
      <c r="P8" s="16">
        <f>1+P7</f>
        <v>5</v>
      </c>
    </row>
    <row r="9" ht="20.15" customHeight="1">
      <c r="B9" s="29"/>
      <c r="C9" s="15">
        <v>-234</v>
      </c>
      <c r="D9" s="16">
        <v>447</v>
      </c>
      <c r="E9" s="16">
        <f>F9-D9-C9</f>
        <v>2977</v>
      </c>
      <c r="F9" s="16">
        <f>4465-F8</f>
        <v>3190</v>
      </c>
      <c r="G9" s="16">
        <f>-1350-G8</f>
        <v>-912</v>
      </c>
      <c r="H9" s="16"/>
      <c r="I9" s="16"/>
      <c r="J9" s="16">
        <f>-5809-J8</f>
        <v>-1544</v>
      </c>
      <c r="K9" s="16">
        <f>F9+G9</f>
        <v>2278</v>
      </c>
      <c r="L9" s="16">
        <f>AVERAGE(K6:K9)</f>
        <v>1914.75</v>
      </c>
      <c r="M9" s="16"/>
      <c r="N9" s="16">
        <f>-J9+N8</f>
        <v>13729</v>
      </c>
      <c r="O9" s="16"/>
      <c r="P9" s="16">
        <f>1+P8</f>
        <v>6</v>
      </c>
    </row>
    <row r="10" ht="20.15" customHeight="1">
      <c r="B10" s="29"/>
      <c r="C10" s="15">
        <v>2279</v>
      </c>
      <c r="D10" s="16">
        <v>474</v>
      </c>
      <c r="E10" s="16">
        <f>F10-D10-C10</f>
        <v>449</v>
      </c>
      <c r="F10" s="16">
        <f>7667-SUM(F8:F9)</f>
        <v>3202</v>
      </c>
      <c r="G10" s="16">
        <f>-1964-SUM(G8:G9)</f>
        <v>-614</v>
      </c>
      <c r="H10" s="16"/>
      <c r="I10" s="16"/>
      <c r="J10" s="16">
        <f>-8013-SUM(J8:J9)</f>
        <v>-2204</v>
      </c>
      <c r="K10" s="16">
        <f>F10+G10</f>
        <v>2588</v>
      </c>
      <c r="L10" s="16">
        <f>AVERAGE(K7:K10)</f>
        <v>1985.25</v>
      </c>
      <c r="M10" s="16"/>
      <c r="N10" s="16">
        <f>-J10+N9</f>
        <v>15933</v>
      </c>
      <c r="O10" s="16"/>
      <c r="P10" s="16">
        <f>1+P9</f>
        <v>7</v>
      </c>
    </row>
    <row r="11" ht="20.15" customHeight="1">
      <c r="B11" s="29"/>
      <c r="C11" s="15">
        <f>4895-SUM(C8:C10)</f>
        <v>1631</v>
      </c>
      <c r="D11" s="16">
        <v>546</v>
      </c>
      <c r="E11" s="16">
        <f>F11-D11-C11</f>
        <v>655</v>
      </c>
      <c r="F11" s="16">
        <f>10499-SUM(F8:F10)</f>
        <v>2832</v>
      </c>
      <c r="G11" s="16">
        <f>-3380-SUM(G8:G10)</f>
        <v>-1416</v>
      </c>
      <c r="H11" s="16"/>
      <c r="I11" s="16"/>
      <c r="J11" s="16">
        <f>-9587-SUM(J8:J10)</f>
        <v>-1574</v>
      </c>
      <c r="K11" s="16">
        <f>F11+G11</f>
        <v>1416</v>
      </c>
      <c r="L11" s="16">
        <f>AVERAGE(K8:K11)</f>
        <v>1779.75</v>
      </c>
      <c r="M11" s="16"/>
      <c r="N11" s="16">
        <f>-J11+N10</f>
        <v>17507</v>
      </c>
      <c r="O11" s="16"/>
      <c r="P11" s="16">
        <f>1+P10</f>
        <v>8</v>
      </c>
    </row>
    <row r="12" ht="20.15" customHeight="1">
      <c r="B12" s="30">
        <v>2017</v>
      </c>
      <c r="C12" s="15">
        <v>1579</v>
      </c>
      <c r="D12" s="16">
        <v>468</v>
      </c>
      <c r="E12" s="16">
        <f>F12-D12-C12</f>
        <v>51</v>
      </c>
      <c r="F12" s="16">
        <v>2098</v>
      </c>
      <c r="G12" s="16">
        <v>-260</v>
      </c>
      <c r="H12" s="16"/>
      <c r="I12" s="16"/>
      <c r="J12" s="16">
        <v>-2463</v>
      </c>
      <c r="K12" s="16">
        <f>F12+G12</f>
        <v>1838</v>
      </c>
      <c r="L12" s="16">
        <f>AVERAGE(K9:K12)</f>
        <v>2030</v>
      </c>
      <c r="M12" s="16"/>
      <c r="N12" s="16">
        <f>-J12+N11</f>
        <v>19970</v>
      </c>
      <c r="O12" s="16"/>
      <c r="P12" s="16">
        <f>1+P11</f>
        <v>9</v>
      </c>
    </row>
    <row r="13" ht="20.15" customHeight="1">
      <c r="B13" s="29"/>
      <c r="C13" s="15">
        <v>1749</v>
      </c>
      <c r="D13" s="16">
        <v>488</v>
      </c>
      <c r="E13" s="16">
        <f>F13-D13-C13</f>
        <v>2712</v>
      </c>
      <c r="F13" s="16">
        <f>7047-F12</f>
        <v>4949</v>
      </c>
      <c r="G13" s="16">
        <f>-1383-G12</f>
        <v>-1123</v>
      </c>
      <c r="H13" s="16"/>
      <c r="I13" s="16"/>
      <c r="J13" s="16">
        <f>-5774-J12</f>
        <v>-3311</v>
      </c>
      <c r="K13" s="16">
        <f>F13+G13</f>
        <v>3826</v>
      </c>
      <c r="L13" s="16">
        <f>AVERAGE(K10:K13)</f>
        <v>2417</v>
      </c>
      <c r="M13" s="16"/>
      <c r="N13" s="16">
        <f>-J13+N12</f>
        <v>23281</v>
      </c>
      <c r="O13" s="16"/>
      <c r="P13" s="16">
        <f>1+P12</f>
        <v>10</v>
      </c>
    </row>
    <row r="14" ht="20.15" customHeight="1">
      <c r="B14" s="29"/>
      <c r="C14" s="15">
        <v>1810</v>
      </c>
      <c r="D14" s="16">
        <v>514</v>
      </c>
      <c r="E14" s="16">
        <f>F14-D14-C14</f>
        <v>1072</v>
      </c>
      <c r="F14" s="16">
        <f>10443-SUM(F12:F13)</f>
        <v>3396</v>
      </c>
      <c r="G14" s="16">
        <f>-1610-SUM(G12:G13)</f>
        <v>-227</v>
      </c>
      <c r="H14" s="16"/>
      <c r="I14" s="16"/>
      <c r="J14" s="16">
        <f>-9109-SUM(J12:J13)</f>
        <v>-3335</v>
      </c>
      <c r="K14" s="16">
        <f>F14+G14</f>
        <v>3169</v>
      </c>
      <c r="L14" s="16">
        <f>AVERAGE(K11:K14)</f>
        <v>2562.25</v>
      </c>
      <c r="M14" s="16"/>
      <c r="N14" s="16">
        <f>-J14+N13</f>
        <v>26616</v>
      </c>
      <c r="O14" s="16"/>
      <c r="P14" s="16">
        <f>1+P13</f>
        <v>11</v>
      </c>
    </row>
    <row r="15" ht="20.15" customHeight="1">
      <c r="B15" s="29"/>
      <c r="C15" s="15">
        <f>8458-SUM(C12:C14)</f>
        <v>3320</v>
      </c>
      <c r="D15" s="16">
        <v>577</v>
      </c>
      <c r="E15" s="16">
        <f>F15-D15-C15</f>
        <v>-994</v>
      </c>
      <c r="F15" s="16">
        <f>13346-SUM(F12:F14)</f>
        <v>2903</v>
      </c>
      <c r="G15" s="16">
        <f>-2058-SUM(G12:G14)</f>
        <v>-448</v>
      </c>
      <c r="H15" s="16"/>
      <c r="I15" s="16"/>
      <c r="J15" s="16">
        <f>-11350-SUM(J12:J14)</f>
        <v>-2241</v>
      </c>
      <c r="K15" s="16">
        <f>F15+G15</f>
        <v>2455</v>
      </c>
      <c r="L15" s="16">
        <f>AVERAGE(K12:K15)</f>
        <v>2822</v>
      </c>
      <c r="M15" s="16"/>
      <c r="N15" s="16">
        <f>-J15+N14</f>
        <v>28857</v>
      </c>
      <c r="O15" s="16"/>
      <c r="P15" s="16">
        <f>1+P14</f>
        <v>12</v>
      </c>
    </row>
    <row r="16" ht="20.15" customHeight="1">
      <c r="B16" s="30">
        <v>2018</v>
      </c>
      <c r="C16" s="15">
        <v>2477</v>
      </c>
      <c r="D16" s="16">
        <v>501</v>
      </c>
      <c r="E16" s="16">
        <f>F16-D16-C16</f>
        <v>158</v>
      </c>
      <c r="F16" s="16">
        <v>3136</v>
      </c>
      <c r="G16" s="16">
        <v>119</v>
      </c>
      <c r="H16" s="16"/>
      <c r="I16" s="16"/>
      <c r="J16" s="16">
        <v>-2845</v>
      </c>
      <c r="K16" s="16">
        <f>F16+G16</f>
        <v>3255</v>
      </c>
      <c r="L16" s="16">
        <f>AVERAGE(K13:K16)</f>
        <v>3176.25</v>
      </c>
      <c r="M16" s="16"/>
      <c r="N16" s="16">
        <f>-J16+N15</f>
        <v>31702</v>
      </c>
      <c r="O16" s="16"/>
      <c r="P16" s="16">
        <f>1+P15</f>
        <v>13</v>
      </c>
    </row>
    <row r="17" ht="20.15" customHeight="1">
      <c r="B17" s="29"/>
      <c r="C17" s="15">
        <v>2196</v>
      </c>
      <c r="D17" s="16">
        <v>507</v>
      </c>
      <c r="E17" s="16">
        <f>F17-D17-C17</f>
        <v>1977</v>
      </c>
      <c r="F17" s="16">
        <f>7816-F16</f>
        <v>4680</v>
      </c>
      <c r="G17" s="16">
        <f>-1295-G16</f>
        <v>-1414</v>
      </c>
      <c r="H17" s="16"/>
      <c r="I17" s="16"/>
      <c r="J17" s="16">
        <f>-7177-J16</f>
        <v>-4332</v>
      </c>
      <c r="K17" s="16">
        <f>F17+G17</f>
        <v>3266</v>
      </c>
      <c r="L17" s="16">
        <f>AVERAGE(K14:K17)</f>
        <v>3036.25</v>
      </c>
      <c r="M17" s="16"/>
      <c r="N17" s="16">
        <f>-J17+N16</f>
        <v>36034</v>
      </c>
      <c r="O17" s="16"/>
      <c r="P17" s="16">
        <f>1+P16</f>
        <v>14</v>
      </c>
    </row>
    <row r="18" ht="20.15" customHeight="1">
      <c r="B18" s="29"/>
      <c r="C18" s="15">
        <v>2363</v>
      </c>
      <c r="D18" s="16">
        <v>523</v>
      </c>
      <c r="E18" s="16">
        <f>F18-D18-C18</f>
        <v>1673</v>
      </c>
      <c r="F18" s="16">
        <f>12375-SUM(F16:F17)</f>
        <v>4559</v>
      </c>
      <c r="G18" s="16">
        <f>-2197-SUM(G16:G17)</f>
        <v>-902</v>
      </c>
      <c r="H18" s="16"/>
      <c r="I18" s="16"/>
      <c r="J18" s="16">
        <f>-10866-SUM(J16:J17)</f>
        <v>-3689</v>
      </c>
      <c r="K18" s="16">
        <f>F18+G18</f>
        <v>3657</v>
      </c>
      <c r="L18" s="16">
        <f>AVERAGE(K15:K18)</f>
        <v>3158.25</v>
      </c>
      <c r="M18" s="16"/>
      <c r="N18" s="16">
        <f>-J18+N17</f>
        <v>39723</v>
      </c>
      <c r="O18" s="16"/>
      <c r="P18" s="16">
        <f>1+P17</f>
        <v>15</v>
      </c>
    </row>
    <row r="19" ht="20.15" customHeight="1">
      <c r="B19" s="29"/>
      <c r="C19" s="15">
        <f>10460-SUM(C16:C18)</f>
        <v>3424</v>
      </c>
      <c r="D19" s="16">
        <v>583</v>
      </c>
      <c r="E19" s="16">
        <f>F19-D19-C19</f>
        <v>-1060</v>
      </c>
      <c r="F19" s="16">
        <f>15322-SUM(F16:F18)</f>
        <v>2947</v>
      </c>
      <c r="G19" s="16">
        <f>-4621-SUM(G16:G18)</f>
        <v>-2424</v>
      </c>
      <c r="H19" s="16"/>
      <c r="I19" s="16"/>
      <c r="J19" s="16">
        <f>-11722-SUM(J16:J18)</f>
        <v>-856</v>
      </c>
      <c r="K19" s="16">
        <f>F19+G19</f>
        <v>523</v>
      </c>
      <c r="L19" s="16">
        <f>AVERAGE(K16:K19)</f>
        <v>2675.25</v>
      </c>
      <c r="M19" s="16"/>
      <c r="N19" s="16">
        <f>-J19+N18</f>
        <v>40579</v>
      </c>
      <c r="O19" s="16"/>
      <c r="P19" s="16">
        <f>1+P18</f>
        <v>16</v>
      </c>
    </row>
    <row r="20" ht="20.15" customHeight="1">
      <c r="B20" s="30">
        <v>2019</v>
      </c>
      <c r="C20" s="15">
        <v>2149</v>
      </c>
      <c r="D20" s="16">
        <v>521</v>
      </c>
      <c r="E20" s="16">
        <f>F20-D20-C20</f>
        <v>118</v>
      </c>
      <c r="F20" s="16">
        <v>2788</v>
      </c>
      <c r="G20" s="16">
        <v>-767</v>
      </c>
      <c r="H20" s="16"/>
      <c r="I20" s="16"/>
      <c r="J20" s="16">
        <v>-2823</v>
      </c>
      <c r="K20" s="16">
        <f>F20+G20</f>
        <v>2021</v>
      </c>
      <c r="L20" s="16">
        <f>AVERAGE(K17:K20)</f>
        <v>2366.75</v>
      </c>
      <c r="M20" s="16"/>
      <c r="N20" s="16">
        <f>-J20+N19</f>
        <v>43402</v>
      </c>
      <c r="O20" s="16"/>
      <c r="P20" s="16">
        <f>1+P19</f>
        <v>17</v>
      </c>
    </row>
    <row r="21" ht="20.15" customHeight="1">
      <c r="B21" s="29"/>
      <c r="C21" s="15">
        <v>2942</v>
      </c>
      <c r="D21" s="16">
        <v>546</v>
      </c>
      <c r="E21" s="16">
        <f>F21-D21-C21</f>
        <v>-4078</v>
      </c>
      <c r="F21" s="16">
        <f>2198-F20</f>
        <v>-590</v>
      </c>
      <c r="G21" s="16">
        <f>-853-G20</f>
        <v>-86</v>
      </c>
      <c r="H21" s="16"/>
      <c r="I21" s="16"/>
      <c r="J21" s="16">
        <f>96-J20</f>
        <v>2919</v>
      </c>
      <c r="K21" s="16">
        <f>F21+G21</f>
        <v>-676</v>
      </c>
      <c r="L21" s="16">
        <f>AVERAGE(K18:K21)</f>
        <v>1381.25</v>
      </c>
      <c r="M21" s="16"/>
      <c r="N21" s="16">
        <f>-J21+N20</f>
        <v>40483</v>
      </c>
      <c r="O21" s="16"/>
      <c r="P21" s="16">
        <f>1+P20</f>
        <v>18</v>
      </c>
    </row>
    <row r="22" ht="20.15" customHeight="1">
      <c r="B22" s="29"/>
      <c r="C22" s="15">
        <v>1167</v>
      </c>
      <c r="D22" s="16">
        <v>576</v>
      </c>
      <c r="E22" s="16">
        <f>F22-D22-C22</f>
        <v>-4167</v>
      </c>
      <c r="F22" s="16">
        <f>-226-SUM(F20:F21)</f>
        <v>-2424</v>
      </c>
      <c r="G22" s="16">
        <f>-2047-SUM(G20:G21)</f>
        <v>-1194</v>
      </c>
      <c r="H22" s="16"/>
      <c r="I22" s="16"/>
      <c r="J22" s="16">
        <f>4336-SUM(J20:J21)</f>
        <v>4240</v>
      </c>
      <c r="K22" s="16">
        <f>F22+G22</f>
        <v>-3618</v>
      </c>
      <c r="L22" s="16">
        <f>AVERAGE(K19:K22)</f>
        <v>-437.5</v>
      </c>
      <c r="M22" s="16"/>
      <c r="N22" s="16">
        <f>-J22+N21</f>
        <v>36243</v>
      </c>
      <c r="O22" s="16"/>
      <c r="P22" s="16">
        <f>1+P21</f>
        <v>19</v>
      </c>
    </row>
    <row r="23" ht="20.15" customHeight="1">
      <c r="B23" s="29"/>
      <c r="C23" s="15">
        <f>-636-SUM(C20:C22)</f>
        <v>-6894</v>
      </c>
      <c r="D23" s="16">
        <v>628</v>
      </c>
      <c r="E23" s="16">
        <f>F23-D23-C23</f>
        <v>4046</v>
      </c>
      <c r="F23" s="16">
        <f>-2446-SUM(F20:F22)</f>
        <v>-2220</v>
      </c>
      <c r="G23" s="16">
        <f>-1530-SUM(G20:G22)</f>
        <v>517</v>
      </c>
      <c r="H23" s="16"/>
      <c r="I23" s="16"/>
      <c r="J23" s="16">
        <f>5739-SUM(J20:J22)</f>
        <v>1403</v>
      </c>
      <c r="K23" s="16">
        <f>F23+G23</f>
        <v>-1703</v>
      </c>
      <c r="L23" s="16">
        <f>AVERAGE(K20:K23)</f>
        <v>-994</v>
      </c>
      <c r="M23" s="16"/>
      <c r="N23" s="16">
        <f>-J23+N22</f>
        <v>34840</v>
      </c>
      <c r="O23" s="16"/>
      <c r="P23" s="16">
        <f>1+P22</f>
        <v>20</v>
      </c>
    </row>
    <row r="24" ht="20.15" customHeight="1">
      <c r="B24" s="30">
        <v>2020</v>
      </c>
      <c r="C24" s="15">
        <v>-641</v>
      </c>
      <c r="D24" s="16">
        <v>680</v>
      </c>
      <c r="E24" s="16">
        <f>F24-D24-C24</f>
        <v>-4341</v>
      </c>
      <c r="F24" s="16">
        <v>-4302</v>
      </c>
      <c r="G24" s="16">
        <v>-379</v>
      </c>
      <c r="H24" s="16"/>
      <c r="I24" s="16"/>
      <c r="J24" s="16">
        <v>10280</v>
      </c>
      <c r="K24" s="16">
        <f>F24+G24</f>
        <v>-4681</v>
      </c>
      <c r="L24" s="16">
        <f>AVERAGE(K21:K24)</f>
        <v>-2669.5</v>
      </c>
      <c r="M24" s="16"/>
      <c r="N24" s="16">
        <f>-J24+N23</f>
        <v>24560</v>
      </c>
      <c r="O24" s="16"/>
      <c r="P24" s="16">
        <f>1+P23</f>
        <v>21</v>
      </c>
    </row>
    <row r="25" ht="20.15" customHeight="1">
      <c r="B25" s="29"/>
      <c r="C25" s="15">
        <f>-3036-C24</f>
        <v>-2395</v>
      </c>
      <c r="D25" s="16">
        <v>1550</v>
      </c>
      <c r="E25" s="16">
        <f>F25-D25-C25</f>
        <v>-4435</v>
      </c>
      <c r="F25" s="16">
        <f>-9582-F24</f>
        <v>-5280</v>
      </c>
      <c r="G25" s="16">
        <f>-12686-G24</f>
        <v>-12307</v>
      </c>
      <c r="H25" s="16"/>
      <c r="I25" s="16"/>
      <c r="J25" s="16">
        <f>32742-J24</f>
        <v>22462</v>
      </c>
      <c r="K25" s="16">
        <f>F25+G25</f>
        <v>-17587</v>
      </c>
      <c r="L25" s="16">
        <f>AVERAGE(K22:K25)</f>
        <v>-6897.25</v>
      </c>
      <c r="M25" s="16"/>
      <c r="N25" s="16">
        <f>-J25+N24</f>
        <v>2098</v>
      </c>
      <c r="O25" s="16"/>
      <c r="P25" s="16">
        <f>1+P24</f>
        <v>22</v>
      </c>
    </row>
    <row r="26" ht="20.15" customHeight="1">
      <c r="B26" s="29"/>
      <c r="C26" s="15">
        <v>-466</v>
      </c>
      <c r="D26" s="16">
        <v>647</v>
      </c>
      <c r="E26" s="16">
        <f>F26-D26-C26</f>
        <v>-5000</v>
      </c>
      <c r="F26" s="16">
        <v>-4819</v>
      </c>
      <c r="G26" s="16">
        <v>-4137</v>
      </c>
      <c r="H26" s="16"/>
      <c r="I26" s="16"/>
      <c r="J26" s="16">
        <v>-468</v>
      </c>
      <c r="K26" s="16">
        <f>F26+G26</f>
        <v>-8956</v>
      </c>
      <c r="L26" s="16">
        <f>AVERAGE(K23:K26)</f>
        <v>-8231.75</v>
      </c>
      <c r="M26" s="16"/>
      <c r="N26" s="16">
        <f>-J26+N25</f>
        <v>2566</v>
      </c>
      <c r="O26" s="16"/>
      <c r="P26" s="16">
        <f>1+P25</f>
        <v>23</v>
      </c>
    </row>
    <row r="27" ht="20.15" customHeight="1">
      <c r="B27" s="29"/>
      <c r="C27" s="15">
        <v>-8439</v>
      </c>
      <c r="D27" s="16">
        <v>7787</v>
      </c>
      <c r="E27" s="16">
        <f>F27-D27-C27</f>
        <v>-3357</v>
      </c>
      <c r="F27" s="16">
        <v>-4009</v>
      </c>
      <c r="G27" s="16">
        <v>-1543</v>
      </c>
      <c r="H27" s="16"/>
      <c r="I27" s="16"/>
      <c r="J27" s="16">
        <v>2681</v>
      </c>
      <c r="K27" s="16">
        <f>F27+G27</f>
        <v>-5552</v>
      </c>
      <c r="L27" s="16">
        <f>AVERAGE(K24:K27)</f>
        <v>-9194</v>
      </c>
      <c r="M27" s="16"/>
      <c r="N27" s="16">
        <f>-J27+N26</f>
        <v>-115</v>
      </c>
      <c r="O27" s="16"/>
      <c r="P27" s="16">
        <f>1+P26</f>
        <v>24</v>
      </c>
    </row>
    <row r="28" ht="20.15" customHeight="1">
      <c r="B28" s="30">
        <v>2021</v>
      </c>
      <c r="C28" s="15">
        <v>-561</v>
      </c>
      <c r="D28" s="16">
        <f>621+536+14+35</f>
        <v>1206</v>
      </c>
      <c r="E28" s="16">
        <f>F28-D28-C28</f>
        <v>-4032</v>
      </c>
      <c r="F28" s="16">
        <v>-3387</v>
      </c>
      <c r="G28" s="16">
        <v>2764</v>
      </c>
      <c r="H28" s="16"/>
      <c r="I28" s="16"/>
      <c r="J28" s="16">
        <v>-48</v>
      </c>
      <c r="K28" s="16">
        <f>F28+G28</f>
        <v>-623</v>
      </c>
      <c r="L28" s="16">
        <f>AVERAGE(K25:K28)</f>
        <v>-8179.5</v>
      </c>
      <c r="M28" s="16"/>
      <c r="N28" s="16">
        <f>-J28+N27</f>
        <v>-67</v>
      </c>
      <c r="O28" s="16"/>
      <c r="P28" s="16">
        <f>1+P27</f>
        <v>25</v>
      </c>
    </row>
    <row r="29" ht="20.15" customHeight="1">
      <c r="B29" s="29"/>
      <c r="C29" s="15">
        <v>567</v>
      </c>
      <c r="D29" s="16">
        <v>924</v>
      </c>
      <c r="E29" s="16">
        <f>F29-D29-C29</f>
        <v>-1974</v>
      </c>
      <c r="F29" s="16">
        <v>-483</v>
      </c>
      <c r="G29" s="16">
        <v>1659</v>
      </c>
      <c r="H29" s="16"/>
      <c r="I29" s="16"/>
      <c r="J29" s="16">
        <v>-19</v>
      </c>
      <c r="K29" s="16">
        <f>F29+G29</f>
        <v>1176</v>
      </c>
      <c r="L29" s="16">
        <f>AVERAGE(K26:K29)</f>
        <v>-3488.75</v>
      </c>
      <c r="M29" s="16"/>
      <c r="N29" s="16">
        <f>-J29+N28</f>
        <v>-48</v>
      </c>
      <c r="O29" s="16"/>
      <c r="P29" s="16">
        <f>1+P28</f>
        <v>26</v>
      </c>
    </row>
    <row r="30" ht="20.15" customHeight="1">
      <c r="B30" s="29"/>
      <c r="C30" s="15">
        <f>-126-C29-C28</f>
        <v>-132</v>
      </c>
      <c r="D30" s="16">
        <f>2942-D29-D28</f>
        <v>812</v>
      </c>
      <c r="E30" s="16">
        <f>F30-D30-C30</f>
        <v>-942</v>
      </c>
      <c r="F30" s="16">
        <f>-4132-F29-F28</f>
        <v>-262</v>
      </c>
      <c r="G30" s="16">
        <f>7389-G29-G28</f>
        <v>2966</v>
      </c>
      <c r="H30" s="16">
        <f>-1248-I30</f>
        <v>-1237</v>
      </c>
      <c r="I30" s="16">
        <f>36-47</f>
        <v>-11</v>
      </c>
      <c r="J30" s="16">
        <f>-1238-J29-J28</f>
        <v>-1171</v>
      </c>
      <c r="K30" s="16">
        <f>F30+G30</f>
        <v>2704</v>
      </c>
      <c r="L30" s="16">
        <f>AVERAGE(K27:K30)</f>
        <v>-573.75</v>
      </c>
      <c r="M30" s="16"/>
      <c r="N30" s="16">
        <f>-J30+N29</f>
        <v>1123</v>
      </c>
      <c r="O30" s="16"/>
      <c r="P30" s="16">
        <f>1+P29</f>
        <v>27</v>
      </c>
    </row>
    <row r="31" ht="20.15" customHeight="1">
      <c r="B31" s="29"/>
      <c r="C31" s="15">
        <f>-4290-C30-C29-C28</f>
        <v>-4164</v>
      </c>
      <c r="D31" s="16">
        <f>7851-D30-D29-D28</f>
        <v>4909</v>
      </c>
      <c r="E31" s="16">
        <f>F31-D31-C31</f>
        <v>-29</v>
      </c>
      <c r="F31" s="16">
        <f>-3416-F30-F29-F28</f>
        <v>716</v>
      </c>
      <c r="G31" s="16">
        <f>9324-G30-G29-G28</f>
        <v>1935</v>
      </c>
      <c r="H31" s="16">
        <f>9795-H30</f>
        <v>11032</v>
      </c>
      <c r="I31" s="16">
        <f>-15371+42-66-I30</f>
        <v>-15384</v>
      </c>
      <c r="J31" s="16">
        <f>-5600-J30-J29-J28</f>
        <v>-4362</v>
      </c>
      <c r="K31" s="16">
        <f>F31+G31</f>
        <v>2651</v>
      </c>
      <c r="L31" s="16">
        <f>AVERAGE(K28:K31)</f>
        <v>1477</v>
      </c>
      <c r="M31" s="16"/>
      <c r="N31" s="16">
        <f>-J31+N30</f>
        <v>5485</v>
      </c>
      <c r="O31" s="16"/>
      <c r="P31" s="16">
        <f>1+P30</f>
        <v>28</v>
      </c>
    </row>
    <row r="32" ht="20.15" customHeight="1">
      <c r="B32" s="30">
        <v>2022</v>
      </c>
      <c r="C32" s="15">
        <v>-1242</v>
      </c>
      <c r="D32" s="16">
        <f>203+329+486+72+48-1+175</f>
        <v>1312</v>
      </c>
      <c r="E32" s="16">
        <f>F32-D32-C32</f>
        <v>-3286</v>
      </c>
      <c r="F32" s="16">
        <v>-3216</v>
      </c>
      <c r="G32" s="16">
        <v>2965</v>
      </c>
      <c r="H32" s="16">
        <v>-394</v>
      </c>
      <c r="I32" s="16">
        <v>30</v>
      </c>
      <c r="J32" s="16">
        <v>-396</v>
      </c>
      <c r="K32" s="16">
        <f>F32+G32</f>
        <v>-251</v>
      </c>
      <c r="L32" s="16">
        <f>AVERAGE(K29:K32)</f>
        <v>1570</v>
      </c>
      <c r="M32" s="16">
        <v>1505.6347664861</v>
      </c>
      <c r="N32" s="16">
        <f>-J32+N31</f>
        <v>5881</v>
      </c>
      <c r="O32" s="16">
        <v>10717.637358777</v>
      </c>
      <c r="P32" s="16">
        <f>1+P31</f>
        <v>29</v>
      </c>
    </row>
    <row r="33" ht="20.15" customHeight="1">
      <c r="B33" s="29"/>
      <c r="C33" s="15"/>
      <c r="D33" s="16"/>
      <c r="E33" s="16"/>
      <c r="F33" s="16"/>
      <c r="G33" s="16"/>
      <c r="H33" s="16"/>
      <c r="I33" s="16"/>
      <c r="J33" s="16"/>
      <c r="K33" s="16"/>
      <c r="L33" s="21"/>
      <c r="M33" s="16">
        <f>SUM('Model'!F9:F10)</f>
        <v>978.0797490464</v>
      </c>
      <c r="N33" s="21"/>
      <c r="O33" s="16">
        <f>'Model'!F33</f>
        <v>9555.2900250232</v>
      </c>
      <c r="P33" s="16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5" style="35" customWidth="1"/>
    <col min="2" max="2" width="7.53906" style="35" customWidth="1"/>
    <col min="3" max="11" width="9.98438" style="35" customWidth="1"/>
    <col min="12" max="16384" width="16.3516" style="35" customWidth="1"/>
  </cols>
  <sheetData>
    <row r="1" ht="18.7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51</v>
      </c>
      <c r="F3" t="s" s="5">
        <v>24</v>
      </c>
      <c r="G3" t="s" s="5">
        <v>11</v>
      </c>
      <c r="H3" t="s" s="5">
        <v>26</v>
      </c>
      <c r="I3" t="s" s="5">
        <v>52</v>
      </c>
      <c r="J3" t="s" s="5">
        <v>53</v>
      </c>
      <c r="K3" t="s" s="5">
        <v>35</v>
      </c>
    </row>
    <row r="4" ht="20.25" customHeight="1">
      <c r="B4" s="25">
        <v>2015</v>
      </c>
      <c r="C4" s="33">
        <v>8655</v>
      </c>
      <c r="D4" s="34">
        <v>97775</v>
      </c>
      <c r="E4" s="34">
        <f>D4-C4</f>
        <v>89120</v>
      </c>
      <c r="F4" s="34">
        <f>'Cashflow'!D4</f>
        <v>459</v>
      </c>
      <c r="G4" s="34">
        <v>89745</v>
      </c>
      <c r="H4" s="34">
        <v>8030</v>
      </c>
      <c r="I4" s="34">
        <f>G4+H4-C4-E4</f>
        <v>0</v>
      </c>
      <c r="J4" s="34">
        <f>C4-G4</f>
        <v>-81090</v>
      </c>
      <c r="K4" s="34"/>
    </row>
    <row r="5" ht="20.05" customHeight="1">
      <c r="B5" s="29"/>
      <c r="C5" s="15">
        <v>9157</v>
      </c>
      <c r="D5" s="16">
        <v>98102</v>
      </c>
      <c r="E5" s="16">
        <f>D5-C5</f>
        <v>88945</v>
      </c>
      <c r="F5" s="16">
        <f>F4+'Cashflow'!D5</f>
        <v>912</v>
      </c>
      <c r="G5" s="16">
        <v>91795</v>
      </c>
      <c r="H5" s="16">
        <v>6307</v>
      </c>
      <c r="I5" s="16">
        <f>G5+H5-C5-E5</f>
        <v>0</v>
      </c>
      <c r="J5" s="16">
        <f>C5-G5</f>
        <v>-82638</v>
      </c>
      <c r="K5" s="16"/>
    </row>
    <row r="6" ht="20.05" customHeight="1">
      <c r="B6" s="29"/>
      <c r="C6" s="15">
        <v>9383</v>
      </c>
      <c r="D6" s="16">
        <v>98998</v>
      </c>
      <c r="E6" s="16">
        <f>D6-C6</f>
        <v>89615</v>
      </c>
      <c r="F6" s="16">
        <f>F5+'Cashflow'!D6</f>
        <v>1349</v>
      </c>
      <c r="G6" s="16">
        <v>92212</v>
      </c>
      <c r="H6" s="16">
        <v>6786</v>
      </c>
      <c r="I6" s="16">
        <f>G6+H6-C6-E6</f>
        <v>0</v>
      </c>
      <c r="J6" s="16">
        <f>C6-G6</f>
        <v>-82829</v>
      </c>
      <c r="K6" s="16"/>
    </row>
    <row r="7" ht="20.05" customHeight="1">
      <c r="B7" s="29"/>
      <c r="C7" s="15">
        <v>11302</v>
      </c>
      <c r="D7" s="16">
        <v>94408</v>
      </c>
      <c r="E7" s="16">
        <f>D7-C7</f>
        <v>83106</v>
      </c>
      <c r="F7" s="16">
        <f>F6+'Cashflow'!D7</f>
        <v>1833</v>
      </c>
      <c r="G7" s="16">
        <v>88011</v>
      </c>
      <c r="H7" s="16">
        <v>6397</v>
      </c>
      <c r="I7" s="16">
        <f>G7+H7-C7-E7</f>
        <v>0</v>
      </c>
      <c r="J7" s="16">
        <f>C7-G7</f>
        <v>-76709</v>
      </c>
      <c r="K7" s="16"/>
    </row>
    <row r="8" ht="20.05" customHeight="1">
      <c r="B8" s="30">
        <v>2016</v>
      </c>
      <c r="C8" s="15">
        <v>7886</v>
      </c>
      <c r="D8" s="16">
        <v>91547</v>
      </c>
      <c r="E8" s="16">
        <f>D8-C8</f>
        <v>83661</v>
      </c>
      <c r="F8" s="16">
        <f>F7+'Cashflow'!D8</f>
        <v>2276</v>
      </c>
      <c r="G8" s="16">
        <v>87441</v>
      </c>
      <c r="H8" s="16">
        <v>4106</v>
      </c>
      <c r="I8" s="16">
        <f>G8+H8-C8-E8</f>
        <v>0</v>
      </c>
      <c r="J8" s="16">
        <f>C8-G8</f>
        <v>-79555</v>
      </c>
      <c r="K8" s="16"/>
    </row>
    <row r="9" ht="20.05" customHeight="1">
      <c r="B9" s="29"/>
      <c r="C9" s="15">
        <v>8605</v>
      </c>
      <c r="D9" s="16">
        <v>89609</v>
      </c>
      <c r="E9" s="16">
        <f>D9-C9</f>
        <v>81004</v>
      </c>
      <c r="F9" s="16">
        <f>F8+'Cashflow'!D9</f>
        <v>2723</v>
      </c>
      <c r="G9" s="16">
        <v>88962</v>
      </c>
      <c r="H9" s="16">
        <v>647</v>
      </c>
      <c r="I9" s="16">
        <f>G9+H9-C9-E9</f>
        <v>0</v>
      </c>
      <c r="J9" s="16">
        <f>C9-G9</f>
        <v>-80357</v>
      </c>
      <c r="K9" s="16"/>
    </row>
    <row r="10" ht="20.05" customHeight="1">
      <c r="B10" s="29"/>
      <c r="C10" s="15">
        <v>8986</v>
      </c>
      <c r="D10" s="16">
        <v>88950</v>
      </c>
      <c r="E10" s="16">
        <f>D10-C10</f>
        <v>79964</v>
      </c>
      <c r="F10" s="16">
        <f>F9+'Cashflow'!D10</f>
        <v>3197</v>
      </c>
      <c r="G10" s="16">
        <v>86800</v>
      </c>
      <c r="H10" s="16">
        <v>2150</v>
      </c>
      <c r="I10" s="16">
        <f>G10+H10-C10-E10</f>
        <v>0</v>
      </c>
      <c r="J10" s="16">
        <f>C10-G10</f>
        <v>-77814</v>
      </c>
      <c r="K10" s="16"/>
    </row>
    <row r="11" ht="20.05" customHeight="1">
      <c r="B11" s="29"/>
      <c r="C11" s="15">
        <v>8801</v>
      </c>
      <c r="D11" s="16">
        <v>89997</v>
      </c>
      <c r="E11" s="16">
        <f>D11-C11</f>
        <v>81196</v>
      </c>
      <c r="F11" s="16">
        <f>F10+'Cashflow'!D11</f>
        <v>3743</v>
      </c>
      <c r="G11" s="16">
        <v>89120</v>
      </c>
      <c r="H11" s="16">
        <v>877</v>
      </c>
      <c r="I11" s="16">
        <f>G11+H11-C11-E11</f>
        <v>0</v>
      </c>
      <c r="J11" s="16">
        <f>C11-G11</f>
        <v>-80319</v>
      </c>
      <c r="K11" s="16"/>
    </row>
    <row r="12" ht="20.05" customHeight="1">
      <c r="B12" s="30">
        <v>2017</v>
      </c>
      <c r="C12" s="15">
        <v>8190</v>
      </c>
      <c r="D12" s="16">
        <v>89673</v>
      </c>
      <c r="E12" s="16">
        <f>D12-C12</f>
        <v>81483</v>
      </c>
      <c r="F12" s="16">
        <f>F11+'Cashflow'!D12</f>
        <v>4211</v>
      </c>
      <c r="G12" s="16">
        <v>89518</v>
      </c>
      <c r="H12" s="16">
        <v>155</v>
      </c>
      <c r="I12" s="16">
        <f>G12+H12-C12-E12</f>
        <v>0</v>
      </c>
      <c r="J12" s="16">
        <f>C12-G12</f>
        <v>-81328</v>
      </c>
      <c r="K12" s="16"/>
    </row>
    <row r="13" ht="20.05" customHeight="1">
      <c r="B13" s="29"/>
      <c r="C13" s="15">
        <v>8737</v>
      </c>
      <c r="D13" s="16">
        <v>90036</v>
      </c>
      <c r="E13" s="16">
        <f>D13-C13</f>
        <v>81299</v>
      </c>
      <c r="F13" s="16">
        <f>F12+'Cashflow'!D13</f>
        <v>4699</v>
      </c>
      <c r="G13" s="16">
        <v>92014</v>
      </c>
      <c r="H13" s="16">
        <v>-1978</v>
      </c>
      <c r="I13" s="16">
        <f>G13+H13-C13-E13</f>
        <v>0</v>
      </c>
      <c r="J13" s="16">
        <f>C13-G13</f>
        <v>-83277</v>
      </c>
      <c r="K13" s="16"/>
    </row>
    <row r="14" ht="20.05" customHeight="1">
      <c r="B14" s="29"/>
      <c r="C14" s="15">
        <v>8569</v>
      </c>
      <c r="D14" s="16">
        <v>91007</v>
      </c>
      <c r="E14" s="16">
        <f>D14-C14</f>
        <v>82438</v>
      </c>
      <c r="F14" s="16">
        <f>F13+'Cashflow'!D14</f>
        <v>5213</v>
      </c>
      <c r="G14" s="16">
        <v>89862</v>
      </c>
      <c r="H14" s="16">
        <v>1145</v>
      </c>
      <c r="I14" s="16">
        <f>G14+H14-C14-E14</f>
        <v>0</v>
      </c>
      <c r="J14" s="16">
        <f>C14-G14</f>
        <v>-81293</v>
      </c>
      <c r="K14" s="16"/>
    </row>
    <row r="15" ht="20.05" customHeight="1">
      <c r="B15" s="29"/>
      <c r="C15" s="15">
        <v>8813</v>
      </c>
      <c r="D15" s="16">
        <v>112362</v>
      </c>
      <c r="E15" s="16">
        <f>D15-C15</f>
        <v>103549</v>
      </c>
      <c r="F15" s="16">
        <f>F14+'Cashflow'!D15</f>
        <v>5790</v>
      </c>
      <c r="G15" s="16">
        <v>110649</v>
      </c>
      <c r="H15" s="16">
        <v>1713</v>
      </c>
      <c r="I15" s="16">
        <f>G15+H15-C15-E15</f>
        <v>0</v>
      </c>
      <c r="J15" s="16">
        <f>C15-G15</f>
        <v>-101836</v>
      </c>
      <c r="K15" s="16"/>
    </row>
    <row r="16" ht="20.05" customHeight="1">
      <c r="B16" s="30">
        <v>2018</v>
      </c>
      <c r="C16" s="15">
        <v>9235</v>
      </c>
      <c r="D16" s="16">
        <v>113549</v>
      </c>
      <c r="E16" s="16">
        <f>D16-C16</f>
        <v>104314</v>
      </c>
      <c r="F16" s="16">
        <f>F15+'Cashflow'!D16</f>
        <v>6291</v>
      </c>
      <c r="G16" s="16">
        <v>112251</v>
      </c>
      <c r="H16" s="16">
        <v>1298</v>
      </c>
      <c r="I16" s="16">
        <f>G16+H16-C16-E16</f>
        <v>0</v>
      </c>
      <c r="J16" s="16">
        <f>C16-G16</f>
        <v>-103016</v>
      </c>
      <c r="K16" s="16"/>
    </row>
    <row r="17" ht="20.05" customHeight="1">
      <c r="B17" s="29"/>
      <c r="C17" s="15">
        <v>8121</v>
      </c>
      <c r="D17" s="16">
        <v>113195</v>
      </c>
      <c r="E17" s="16">
        <f>D17-C17</f>
        <v>105074</v>
      </c>
      <c r="F17" s="16">
        <f>F16+'Cashflow'!D17</f>
        <v>6798</v>
      </c>
      <c r="G17" s="16">
        <v>114569</v>
      </c>
      <c r="H17" s="16">
        <v>-1374</v>
      </c>
      <c r="I17" s="16">
        <f>G17+H17-C17-E17</f>
        <v>0</v>
      </c>
      <c r="J17" s="16">
        <f>C17-G17</f>
        <v>-106448</v>
      </c>
      <c r="K17" s="16"/>
    </row>
    <row r="18" ht="20.05" customHeight="1">
      <c r="B18" s="29"/>
      <c r="C18" s="15">
        <v>8034</v>
      </c>
      <c r="D18" s="16">
        <v>114659</v>
      </c>
      <c r="E18" s="16">
        <f>D18-C18</f>
        <v>106625</v>
      </c>
      <c r="F18" s="16">
        <f>F17+'Cashflow'!D18</f>
        <v>7321</v>
      </c>
      <c r="G18" s="16">
        <v>115868</v>
      </c>
      <c r="H18" s="16">
        <v>-1209</v>
      </c>
      <c r="I18" s="16">
        <f>G18+H18-C18-E18</f>
        <v>0</v>
      </c>
      <c r="J18" s="16">
        <f>C18-G18</f>
        <v>-107834</v>
      </c>
      <c r="K18" s="16"/>
    </row>
    <row r="19" ht="20.05" customHeight="1">
      <c r="B19" s="29"/>
      <c r="C19" s="15">
        <v>7637</v>
      </c>
      <c r="D19" s="16">
        <v>117359</v>
      </c>
      <c r="E19" s="16">
        <f>D19-C19</f>
        <v>109722</v>
      </c>
      <c r="F19" s="16">
        <f>F18+'Cashflow'!D19</f>
        <v>7904</v>
      </c>
      <c r="G19" s="16">
        <v>116949</v>
      </c>
      <c r="H19" s="16">
        <v>410</v>
      </c>
      <c r="I19" s="16">
        <f>G19+H19-C19-E19</f>
        <v>0</v>
      </c>
      <c r="J19" s="16">
        <f>C19-G19</f>
        <v>-109312</v>
      </c>
      <c r="K19" s="16"/>
    </row>
    <row r="20" ht="20.05" customHeight="1">
      <c r="B20" s="30">
        <v>2019</v>
      </c>
      <c r="C20" s="15">
        <v>6836</v>
      </c>
      <c r="D20" s="16">
        <v>120209</v>
      </c>
      <c r="E20" s="16">
        <f>D20-C20</f>
        <v>113373</v>
      </c>
      <c r="F20" s="16">
        <f>F19+'Cashflow'!D20</f>
        <v>8425</v>
      </c>
      <c r="G20" s="16">
        <v>119977</v>
      </c>
      <c r="H20" s="16">
        <v>232</v>
      </c>
      <c r="I20" s="16">
        <f>G20+H20-C20-E20</f>
        <v>0</v>
      </c>
      <c r="J20" s="16">
        <f>C20-G20</f>
        <v>-113141</v>
      </c>
      <c r="K20" s="16"/>
    </row>
    <row r="21" ht="20.05" customHeight="1">
      <c r="B21" s="29"/>
      <c r="C21" s="15">
        <v>9167</v>
      </c>
      <c r="D21" s="16">
        <v>126261</v>
      </c>
      <c r="E21" s="16">
        <f>D21-C21</f>
        <v>117094</v>
      </c>
      <c r="F21" s="16">
        <f>F20+'Cashflow'!D21</f>
        <v>8971</v>
      </c>
      <c r="G21" s="16">
        <v>131204</v>
      </c>
      <c r="H21" s="16">
        <v>-4943</v>
      </c>
      <c r="I21" s="16">
        <f>G21+H21-C21-E21</f>
        <v>0</v>
      </c>
      <c r="J21" s="16">
        <f>C21-G21</f>
        <v>-122037</v>
      </c>
      <c r="K21" s="16"/>
    </row>
    <row r="22" ht="20.05" customHeight="1">
      <c r="B22" s="29"/>
      <c r="C22" s="15">
        <v>9763</v>
      </c>
      <c r="D22" s="16">
        <v>132598</v>
      </c>
      <c r="E22" s="16">
        <f>D22-C22</f>
        <v>122835</v>
      </c>
      <c r="F22" s="16">
        <f>F21+'Cashflow'!D22</f>
        <v>9547</v>
      </c>
      <c r="G22" s="16">
        <v>136407</v>
      </c>
      <c r="H22" s="16">
        <v>-3809</v>
      </c>
      <c r="I22" s="16">
        <f>G22+H22-C22-E22</f>
        <v>0</v>
      </c>
      <c r="J22" s="16">
        <f>C22-G22</f>
        <v>-126644</v>
      </c>
      <c r="K22" s="16"/>
    </row>
    <row r="23" ht="20.05" customHeight="1">
      <c r="B23" s="29"/>
      <c r="C23" s="15">
        <v>9485</v>
      </c>
      <c r="D23" s="16">
        <v>133625</v>
      </c>
      <c r="E23" s="16">
        <f>D23-C23</f>
        <v>124140</v>
      </c>
      <c r="F23" s="16">
        <f>F22+'Cashflow'!D23</f>
        <v>10175</v>
      </c>
      <c r="G23" s="16">
        <v>141925</v>
      </c>
      <c r="H23" s="16">
        <v>-8300</v>
      </c>
      <c r="I23" s="16">
        <f>G23+H23-C23-E23</f>
        <v>0</v>
      </c>
      <c r="J23" s="16">
        <f>C23-G23</f>
        <v>-132440</v>
      </c>
      <c r="K23" s="16"/>
    </row>
    <row r="24" ht="20.05" customHeight="1">
      <c r="B24" s="30">
        <v>2020</v>
      </c>
      <c r="C24" s="15">
        <v>15039</v>
      </c>
      <c r="D24" s="16">
        <v>143075</v>
      </c>
      <c r="E24" s="16">
        <f>D24-C24</f>
        <v>128036</v>
      </c>
      <c r="F24" s="16">
        <f>F23+'Cashflow'!D24</f>
        <v>10855</v>
      </c>
      <c r="G24" s="16">
        <v>152435</v>
      </c>
      <c r="H24" s="16">
        <v>-9360</v>
      </c>
      <c r="I24" s="16">
        <f>G24+H24-C24-E24</f>
        <v>0</v>
      </c>
      <c r="J24" s="16">
        <f>C24-G24</f>
        <v>-137396</v>
      </c>
      <c r="K24" s="16"/>
    </row>
    <row r="25" ht="20.05" customHeight="1">
      <c r="B25" s="29"/>
      <c r="C25" s="15">
        <v>19992</v>
      </c>
      <c r="D25" s="16">
        <v>162872</v>
      </c>
      <c r="E25" s="16">
        <f>D25-C25</f>
        <v>142880</v>
      </c>
      <c r="F25" s="16">
        <f>F24+'Cashflow'!D25</f>
        <v>12405</v>
      </c>
      <c r="G25" s="16">
        <v>174254</v>
      </c>
      <c r="H25" s="16">
        <v>-11382</v>
      </c>
      <c r="I25" s="16">
        <f>G25+H25-C25-E25</f>
        <v>0</v>
      </c>
      <c r="J25" s="16">
        <f>C25-G25</f>
        <v>-154262</v>
      </c>
      <c r="K25" s="16"/>
    </row>
    <row r="26" ht="20.05" customHeight="1">
      <c r="B26" s="29"/>
      <c r="C26" s="15">
        <v>10564</v>
      </c>
      <c r="D26" s="16">
        <v>161261</v>
      </c>
      <c r="E26" s="16">
        <f>D26-C26</f>
        <v>150697</v>
      </c>
      <c r="F26" s="16">
        <f>F25+'Cashflow'!D26</f>
        <v>13052</v>
      </c>
      <c r="G26" s="16">
        <v>172814</v>
      </c>
      <c r="H26" s="16">
        <v>-11553</v>
      </c>
      <c r="I26" s="16">
        <f>G26+H26-C26-E26</f>
        <v>0</v>
      </c>
      <c r="J26" s="16">
        <f>C26-G26</f>
        <v>-162250</v>
      </c>
      <c r="K26" s="16"/>
    </row>
    <row r="27" ht="20.05" customHeight="1">
      <c r="B27" s="29"/>
      <c r="C27" s="15">
        <v>7752</v>
      </c>
      <c r="D27" s="16">
        <v>152136</v>
      </c>
      <c r="E27" s="16">
        <f>D27-C27</f>
        <v>144384</v>
      </c>
      <c r="F27" s="16">
        <f>F26+'Cashflow'!D27</f>
        <v>20839</v>
      </c>
      <c r="G27" s="16">
        <v>170211</v>
      </c>
      <c r="H27" s="16">
        <v>-18075</v>
      </c>
      <c r="I27" s="16">
        <f>G27+H27-C27-E27</f>
        <v>0</v>
      </c>
      <c r="J27" s="16">
        <f>C27-G27</f>
        <v>-162459</v>
      </c>
      <c r="K27" s="20"/>
    </row>
    <row r="28" ht="20.05" customHeight="1">
      <c r="B28" s="30">
        <v>2021</v>
      </c>
      <c r="C28" s="15">
        <v>7059</v>
      </c>
      <c r="D28" s="16">
        <v>150035</v>
      </c>
      <c r="E28" s="16">
        <f>D28-C28</f>
        <v>142976</v>
      </c>
      <c r="F28" s="16">
        <f>F27+'Cashflow'!D28</f>
        <v>22045</v>
      </c>
      <c r="G28" s="16">
        <v>167876</v>
      </c>
      <c r="H28" s="16">
        <v>-17841</v>
      </c>
      <c r="I28" s="16">
        <f>G28+H28-C28-E28</f>
        <v>0</v>
      </c>
      <c r="J28" s="16">
        <f>C28-G28</f>
        <v>-160817</v>
      </c>
      <c r="K28" s="16"/>
    </row>
    <row r="29" ht="20.05" customHeight="1">
      <c r="B29" s="29"/>
      <c r="C29" s="15">
        <v>8271</v>
      </c>
      <c r="D29" s="16">
        <v>148935</v>
      </c>
      <c r="E29" s="16">
        <f>D29-C29</f>
        <v>140664</v>
      </c>
      <c r="F29" s="16">
        <f>F28+'Cashflow'!D29</f>
        <v>22969</v>
      </c>
      <c r="G29" s="16">
        <v>165420</v>
      </c>
      <c r="H29" s="16">
        <v>-16485</v>
      </c>
      <c r="I29" s="16">
        <f>G29+H29-C29-E29</f>
        <v>0</v>
      </c>
      <c r="J29" s="16">
        <f>C29-G29</f>
        <v>-157149</v>
      </c>
      <c r="K29" s="16"/>
    </row>
    <row r="30" ht="20.05" customHeight="1">
      <c r="B30" s="29"/>
      <c r="C30" s="15">
        <v>9764</v>
      </c>
      <c r="D30" s="16">
        <v>146846</v>
      </c>
      <c r="E30" s="16">
        <f>D30-C30</f>
        <v>137082</v>
      </c>
      <c r="F30" s="16">
        <f>F29+'Cashflow'!D30</f>
        <v>23781</v>
      </c>
      <c r="G30" s="16">
        <v>161112</v>
      </c>
      <c r="H30" s="16">
        <v>-14266</v>
      </c>
      <c r="I30" s="16">
        <f>G30+H30-C30-E30</f>
        <v>0</v>
      </c>
      <c r="J30" s="16">
        <f>C30-G30</f>
        <v>-151348</v>
      </c>
      <c r="K30" s="16"/>
    </row>
    <row r="31" ht="20.05" customHeight="1">
      <c r="B31" s="29"/>
      <c r="C31" s="15">
        <v>8052</v>
      </c>
      <c r="D31" s="16">
        <v>138552</v>
      </c>
      <c r="E31" s="16">
        <f>D31-C31</f>
        <v>130500</v>
      </c>
      <c r="F31" s="16">
        <f>F30+'Cashflow'!D31</f>
        <v>28690</v>
      </c>
      <c r="G31" s="16">
        <v>153398</v>
      </c>
      <c r="H31" s="16">
        <f>D31-G31</f>
        <v>-14846</v>
      </c>
      <c r="I31" s="16">
        <f>G31+H31-C31-E31</f>
        <v>0</v>
      </c>
      <c r="J31" s="16">
        <f>C31-G31</f>
        <v>-145346</v>
      </c>
      <c r="K31" s="16"/>
    </row>
    <row r="32" ht="20.05" customHeight="1">
      <c r="B32" s="30">
        <v>2022</v>
      </c>
      <c r="C32" s="15">
        <v>7409</v>
      </c>
      <c r="D32" s="16">
        <v>135801</v>
      </c>
      <c r="E32" s="16">
        <f>D32-C32</f>
        <v>128392</v>
      </c>
      <c r="F32" s="16">
        <f>F31+'Cashflow'!D32</f>
        <v>30002</v>
      </c>
      <c r="G32" s="16">
        <v>151069</v>
      </c>
      <c r="H32" s="16">
        <f>D32-G32</f>
        <v>-15268</v>
      </c>
      <c r="I32" s="16">
        <f>G32+H32-C32-E32</f>
        <v>0</v>
      </c>
      <c r="J32" s="16">
        <f>C32-G32</f>
        <v>-143660</v>
      </c>
      <c r="K32" s="16">
        <v>-140975.153848856</v>
      </c>
    </row>
    <row r="33" ht="20.05" customHeight="1">
      <c r="B33" s="29"/>
      <c r="C33" s="15"/>
      <c r="D33" s="16"/>
      <c r="E33" s="16"/>
      <c r="F33" s="16"/>
      <c r="G33" s="16"/>
      <c r="H33" s="16"/>
      <c r="I33" s="16"/>
      <c r="J33" s="16"/>
      <c r="K33" s="16">
        <f>'Model'!F31</f>
        <v>-140216.796982484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4" width="11.0547" style="36" customWidth="1"/>
    <col min="5" max="16384" width="16.3516" style="36" customWidth="1"/>
  </cols>
  <sheetData>
    <row r="1" ht="40" customHeight="1"/>
    <row r="2" ht="27.65" customHeight="1">
      <c r="B2" t="s" s="2">
        <v>54</v>
      </c>
      <c r="C2" s="2"/>
      <c r="D2" s="2"/>
    </row>
    <row r="3" ht="20.35" customHeight="1">
      <c r="B3" s="4"/>
      <c r="C3" t="s" s="37">
        <v>55</v>
      </c>
      <c r="D3" t="s" s="37">
        <v>56</v>
      </c>
    </row>
    <row r="4" ht="20.35" customHeight="1">
      <c r="B4" s="25">
        <v>2018</v>
      </c>
      <c r="C4" s="38">
        <v>327.88</v>
      </c>
      <c r="D4" s="39"/>
    </row>
    <row r="5" ht="20.05" customHeight="1">
      <c r="B5" s="29"/>
      <c r="C5" s="40">
        <v>335.51</v>
      </c>
      <c r="D5" s="41"/>
    </row>
    <row r="6" ht="20.05" customHeight="1">
      <c r="B6" s="29"/>
      <c r="C6" s="40">
        <v>371.9</v>
      </c>
      <c r="D6" s="41"/>
    </row>
    <row r="7" ht="20.05" customHeight="1">
      <c r="B7" s="29"/>
      <c r="C7" s="40">
        <v>322.5</v>
      </c>
      <c r="D7" s="41"/>
    </row>
    <row r="8" ht="20.05" customHeight="1">
      <c r="B8" s="30">
        <v>2019</v>
      </c>
      <c r="C8" s="40">
        <v>381.42</v>
      </c>
      <c r="D8" s="41"/>
    </row>
    <row r="9" ht="20.05" customHeight="1">
      <c r="B9" s="29"/>
      <c r="C9" s="40">
        <v>364.01</v>
      </c>
      <c r="D9" s="41"/>
    </row>
    <row r="10" ht="20.05" customHeight="1">
      <c r="B10" s="29"/>
      <c r="C10" s="40">
        <v>380.47</v>
      </c>
      <c r="D10" s="41"/>
    </row>
    <row r="11" ht="20.05" customHeight="1">
      <c r="B11" s="29"/>
      <c r="C11" s="42">
        <v>323.833313</v>
      </c>
      <c r="D11" s="41"/>
    </row>
    <row r="12" ht="20.05" customHeight="1">
      <c r="B12" s="30">
        <v>2020</v>
      </c>
      <c r="C12" s="42">
        <v>149.139999</v>
      </c>
      <c r="D12" s="21"/>
    </row>
    <row r="13" ht="20.05" customHeight="1">
      <c r="B13" s="29"/>
      <c r="C13" s="42">
        <v>183.300003</v>
      </c>
      <c r="D13" s="21"/>
    </row>
    <row r="14" ht="20.05" customHeight="1">
      <c r="B14" s="29"/>
      <c r="C14" s="42">
        <v>165.259995</v>
      </c>
      <c r="D14" s="21"/>
    </row>
    <row r="15" ht="20.05" customHeight="1">
      <c r="B15" s="29"/>
      <c r="C15" s="42">
        <v>214.059998</v>
      </c>
      <c r="D15" s="21"/>
    </row>
    <row r="16" ht="20.05" customHeight="1">
      <c r="B16" s="30">
        <v>2021</v>
      </c>
      <c r="C16" s="15">
        <v>254.720001</v>
      </c>
      <c r="D16" s="21"/>
    </row>
    <row r="17" ht="20.05" customHeight="1">
      <c r="B17" s="29"/>
      <c r="C17" s="15">
        <v>239.73</v>
      </c>
      <c r="D17" s="21"/>
    </row>
    <row r="18" ht="20.05" customHeight="1">
      <c r="B18" s="29"/>
      <c r="C18" s="15">
        <v>226</v>
      </c>
      <c r="D18" s="21"/>
    </row>
    <row r="19" ht="20.05" customHeight="1">
      <c r="B19" s="29"/>
      <c r="C19" s="15">
        <v>201.32</v>
      </c>
      <c r="D19" s="21"/>
    </row>
    <row r="20" ht="20.05" customHeight="1">
      <c r="B20" s="30">
        <v>2022</v>
      </c>
      <c r="C20" s="15">
        <v>191.5</v>
      </c>
      <c r="D20" s="20">
        <v>289.731891136219</v>
      </c>
    </row>
    <row r="21" ht="20.05" customHeight="1">
      <c r="B21" s="29"/>
      <c r="C21" s="15">
        <v>119.4</v>
      </c>
      <c r="D21" s="20">
        <v>267.043203070825</v>
      </c>
    </row>
    <row r="22" ht="20.05" customHeight="1">
      <c r="B22" s="29"/>
      <c r="C22" s="15"/>
      <c r="D22" s="20">
        <f>'Model'!F44</f>
        <v>155.259743035029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