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<sst xmlns="http://schemas.openxmlformats.org/spreadsheetml/2006/main" uniqueCount="87">
  <si>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</si>
  <si>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</si>
  <si>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</si>
  <si>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</si>
  <si>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</si>
  <si>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</si>
  <si>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</si>
  <si>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</si>
  <si>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</si>
  <si>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</si>
  <si>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</si>
  <si>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</si>
  <si>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</si>
  <si>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</si>
  <si>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</si>
  <si>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</si>
  <si>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</si>
  <si>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</si>
  <si>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</si>
  <si>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</si>
  <si>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</si>
  <si>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</si>
  <si>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</si>
  <si>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</si>
  <si>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</si>
  <si>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</si>
  <si>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</si>
  <si>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</si>
  <si>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</si>
  <si>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</si>
  <si>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</si>
  <si>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</si>
  <si>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</si>
  <si>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</si>
  <si>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</si>
  <si>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</si>
  <si>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</si>
  <si>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</si>
  <si>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</si>
  <si>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</si>
  <si>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</si>
  <si>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</si>
  <si>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</si>
  <si>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</si>
  <si>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</si>
  <si>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Receipts</t>
  </si>
  <si>
    <t xml:space="preserve">Free cashflow </t>
  </si>
  <si>
    <t>Cash</t>
  </si>
  <si>
    <t>Assets</t>
  </si>
  <si>
    <t>Check</t>
  </si>
  <si>
    <t>Share price</t>
  </si>
  <si>
    <t>BISI</t>
  </si>
  <si>
    <t>Target</t>
  </si>
  <si>
    <t>Capital</t>
  </si>
  <si>
    <t>$m</t>
  </si>
  <si>
    <t xml:space="preserve">Total </t>
  </si>
  <si>
    <t>Table 1</t>
  </si>
  <si>
    <t>Market value</t>
  </si>
  <si>
    <t xml:space="preserve">capital history </t>
  </si>
  <si>
    <t>of market value</t>
  </si>
  <si>
    <t>paid in last 5 years.</t>
  </si>
  <si>
    <t xml:space="preserve">Start date </t>
  </si>
  <si>
    <t xml:space="preserve">Number of quarters </t>
  </si>
  <si>
    <t>Market value Rpbn</t>
  </si>
  <si>
    <t xml:space="preserve">billion rupiah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</si>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</sst>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#,##0.0"/>
    <numFmt numFmtId="60" formatCode="#,##0%"/>
    <numFmt numFmtId="61" formatCode="0.0%"/>
    <numFmt numFmtId="62" formatCode="0.0_);[Red]\(0.0\)"/>
    <numFmt numFmtId="63" formatCode="0%_);[Red]\(0%\)"/>
    <numFmt numFmtId="64" formatCode="[$IDR]0"/>
    <numFmt numFmtId="65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  <font>
      <b val="1"/>
      <sz val="22"/>
      <color indexed="8"/>
      <name val="Helvetica Neue"/>
    </font>
    <font>
      <b val="1"/>
      <sz val="22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4" borderId="4" applyNumberFormat="1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5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efffe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6119"/>
          <c:y val="0.0426778"/>
          <c:w val="0.837905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'!$E$3:$E$14</c:f>
              <c:numCache>
                <c:ptCount val="12"/>
                <c:pt idx="0">
                  <c:v>-152.000000</c:v>
                </c:pt>
                <c:pt idx="1">
                  <c:v>-103.000000</c:v>
                </c:pt>
                <c:pt idx="2">
                  <c:v>-104.000000</c:v>
                </c:pt>
                <c:pt idx="3">
                  <c:v>-154.000000</c:v>
                </c:pt>
                <c:pt idx="4">
                  <c:v>-155.000000</c:v>
                </c:pt>
                <c:pt idx="5">
                  <c:v>-155.000000</c:v>
                </c:pt>
                <c:pt idx="6">
                  <c:v>-155.000000</c:v>
                </c:pt>
                <c:pt idx="7">
                  <c:v>-105.000000</c:v>
                </c:pt>
                <c:pt idx="8">
                  <c:v>-55.000000</c:v>
                </c:pt>
                <c:pt idx="9">
                  <c:v>-5.000000</c:v>
                </c:pt>
                <c:pt idx="10">
                  <c:v>-155.000000</c:v>
                </c:pt>
                <c:pt idx="11">
                  <c:v>-155.000000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'!$F$3:$F$14</c:f>
              <c:numCache>
                <c:ptCount val="12"/>
                <c:pt idx="0">
                  <c:v>0.000000</c:v>
                </c:pt>
                <c:pt idx="1">
                  <c:v>-30.000000</c:v>
                </c:pt>
                <c:pt idx="2">
                  <c:v>-60.000000</c:v>
                </c:pt>
                <c:pt idx="3">
                  <c:v>-90.000000</c:v>
                </c:pt>
                <c:pt idx="4">
                  <c:v>-126.000000</c:v>
                </c:pt>
                <c:pt idx="5">
                  <c:v>-189.000000</c:v>
                </c:pt>
                <c:pt idx="6">
                  <c:v>-288.000000</c:v>
                </c:pt>
                <c:pt idx="7">
                  <c:v>-552.000000</c:v>
                </c:pt>
                <c:pt idx="8">
                  <c:v>-852.000000</c:v>
                </c:pt>
                <c:pt idx="9">
                  <c:v>-1152.000000</c:v>
                </c:pt>
                <c:pt idx="10">
                  <c:v>-1266.000000</c:v>
                </c:pt>
                <c:pt idx="11">
                  <c:v>-1380.000000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'!$G$3:$G$14</c:f>
              <c:numCache>
                <c:ptCount val="12"/>
                <c:pt idx="0">
                  <c:v>-152.000000</c:v>
                </c:pt>
                <c:pt idx="1">
                  <c:v>-133.000000</c:v>
                </c:pt>
                <c:pt idx="2">
                  <c:v>-164.000000</c:v>
                </c:pt>
                <c:pt idx="3">
                  <c:v>-244.000000</c:v>
                </c:pt>
                <c:pt idx="4">
                  <c:v>-281.000000</c:v>
                </c:pt>
                <c:pt idx="5">
                  <c:v>-344.000000</c:v>
                </c:pt>
                <c:pt idx="6">
                  <c:v>-443.000000</c:v>
                </c:pt>
                <c:pt idx="7">
                  <c:v>-657.000000</c:v>
                </c:pt>
                <c:pt idx="8">
                  <c:v>-907.000000</c:v>
                </c:pt>
                <c:pt idx="9">
                  <c:v>-1157.000000</c:v>
                </c:pt>
                <c:pt idx="10">
                  <c:v>-1421.000000</c:v>
                </c:pt>
                <c:pt idx="11">
                  <c:v>-1535.000000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00"/>
        <c:minorUnit val="2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39869"/>
          <c:y val="0.311653"/>
          <c:w val="0.362311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451288</xdr:colOff>
      <xdr:row>2</xdr:row>
      <xdr:rowOff>38252</xdr:rowOff>
    </xdr:from>
    <xdr:to>
      <xdr:col>13</xdr:col>
      <xdr:colOff>692651</xdr:colOff>
      <xdr:row>48</xdr:row>
      <xdr:rowOff>194351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00988" y="541807"/>
          <a:ext cx="8953564" cy="118743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96463</xdr:colOff>
      <xdr:row>18</xdr:row>
      <xdr:rowOff>265074</xdr:rowOff>
    </xdr:from>
    <xdr:to>
      <xdr:col>6</xdr:col>
      <xdr:colOff>642428</xdr:colOff>
      <xdr:row>27</xdr:row>
      <xdr:rowOff>394183</xdr:rowOff>
    </xdr:to>
    <xdr:graphicFrame>
      <xdr:nvGraphicFramePr>
        <xdr:cNvPr id="4" name="2D Line Chart"/>
        <xdr:cNvGraphicFramePr/>
      </xdr:nvGraphicFramePr>
      <xdr:xfrm>
        <a:off x="1874463" y="5049799"/>
        <a:ext cx="4101966" cy="348762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351291</xdr:colOff>
      <xdr:row>15</xdr:row>
      <xdr:rowOff>316869</xdr:rowOff>
    </xdr:from>
    <xdr:to>
      <xdr:col>6</xdr:col>
      <xdr:colOff>757361</xdr:colOff>
      <xdr:row>18</xdr:row>
      <xdr:rowOff>347556</xdr:rowOff>
    </xdr:to>
    <xdr:sp>
      <xdr:nvSpPr>
        <xdr:cNvPr id="5" name="BISI HAS PAID OUT 49% OF CURRENT MARKET CAP."/>
        <xdr:cNvSpPr txBox="1"/>
      </xdr:nvSpPr>
      <xdr:spPr>
        <a:xfrm>
          <a:off x="2129291" y="4236089"/>
          <a:ext cx="3962071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BISI HAS PAID OUT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49%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OF CURRENT MARKET CAP.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953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AVERAGE('Sales'!G24:G27)</f>
        <v>0.0956936187314987</v>
      </c>
      <c r="D4" s="8"/>
      <c r="E4" s="8"/>
      <c r="F4" s="9">
        <f>AVERAGE(C5:F5)</f>
        <v>0.0525</v>
      </c>
    </row>
    <row r="5" ht="20.05" customHeight="1">
      <c r="B5" t="s" s="10">
        <v>4</v>
      </c>
      <c r="C5" s="11">
        <v>0.05</v>
      </c>
      <c r="D5" s="12">
        <v>0.05</v>
      </c>
      <c r="E5" s="12">
        <v>0.12</v>
      </c>
      <c r="F5" s="12">
        <v>-0.01</v>
      </c>
    </row>
    <row r="6" ht="20.05" customHeight="1">
      <c r="B6" t="s" s="10">
        <v>5</v>
      </c>
      <c r="C6" s="13">
        <f>'Sales'!C27*(1+C5)</f>
        <v>649.95</v>
      </c>
      <c r="D6" s="14">
        <f>C6*(1+D5)</f>
        <v>682.4475</v>
      </c>
      <c r="E6" s="14">
        <f>D6*(1+E5)</f>
        <v>764.3412</v>
      </c>
      <c r="F6" s="14">
        <f>E6*(1+F5)</f>
        <v>756.6977879999999</v>
      </c>
    </row>
    <row r="7" ht="20.05" customHeight="1">
      <c r="B7" t="s" s="10">
        <v>6</v>
      </c>
      <c r="C7" s="11">
        <f>AVERAGE('Sales'!H27)</f>
        <v>-0.734248788368336</v>
      </c>
      <c r="D7" s="12">
        <f>C7</f>
        <v>-0.734248788368336</v>
      </c>
      <c r="E7" s="12">
        <f>D7</f>
        <v>-0.734248788368336</v>
      </c>
      <c r="F7" s="12">
        <f>E7</f>
        <v>-0.734248788368336</v>
      </c>
    </row>
    <row r="8" ht="20.05" customHeight="1">
      <c r="B8" t="s" s="10">
        <v>7</v>
      </c>
      <c r="C8" s="15">
        <f>C6*C7</f>
        <v>-477.225</v>
      </c>
      <c r="D8" s="16">
        <f>D6*D7</f>
        <v>-501.08625</v>
      </c>
      <c r="E8" s="16">
        <f>E6*E7</f>
        <v>-561.2166</v>
      </c>
      <c r="F8" s="16">
        <f>F6*F7</f>
        <v>-555.604434</v>
      </c>
    </row>
    <row r="9" ht="20.05" customHeight="1">
      <c r="B9" t="s" s="10">
        <v>8</v>
      </c>
      <c r="C9" s="15">
        <f>C6+C8</f>
        <v>172.725</v>
      </c>
      <c r="D9" s="16">
        <f>D6+D8</f>
        <v>181.36125</v>
      </c>
      <c r="E9" s="16">
        <f>E6+E8</f>
        <v>203.1246</v>
      </c>
      <c r="F9" s="16">
        <f>F6+F8</f>
        <v>201.093354</v>
      </c>
    </row>
    <row r="10" ht="20.05" customHeight="1">
      <c r="B10" t="s" s="10">
        <v>9</v>
      </c>
      <c r="C10" s="15">
        <f>AVERAGE('Cashflow '!E28)</f>
        <v>-4.4</v>
      </c>
      <c r="D10" s="16">
        <f>C10</f>
        <v>-4.4</v>
      </c>
      <c r="E10" s="16">
        <f>D10</f>
        <v>-4.4</v>
      </c>
      <c r="F10" s="16">
        <f>E10</f>
        <v>-4.4</v>
      </c>
    </row>
    <row r="11" ht="20.05" customHeight="1">
      <c r="B11" t="s" s="10">
        <v>10</v>
      </c>
      <c r="C11" s="15">
        <f>C12+C15+C13</f>
        <v>-168.325</v>
      </c>
      <c r="D11" s="16">
        <f>D12+D15+D13</f>
        <v>-176.96125</v>
      </c>
      <c r="E11" s="16">
        <f>E12+E15+E13</f>
        <v>-198.7246</v>
      </c>
      <c r="F11" s="16">
        <f>F12+F15+F13</f>
        <v>-196.693354</v>
      </c>
    </row>
    <row r="12" ht="20.05" customHeight="1">
      <c r="B12" t="s" s="10">
        <v>11</v>
      </c>
      <c r="C12" s="15">
        <f>-'Balance sheet'!G28/20</f>
        <v>-21.4</v>
      </c>
      <c r="D12" s="16">
        <f>-C27/20</f>
        <v>-20.33</v>
      </c>
      <c r="E12" s="16">
        <f>-D27/20</f>
        <v>-19.3135</v>
      </c>
      <c r="F12" s="16">
        <f>-E27/20</f>
        <v>-18.347825</v>
      </c>
    </row>
    <row r="13" ht="20.05" customHeight="1">
      <c r="B13" t="s" s="10">
        <v>12</v>
      </c>
      <c r="C13" s="15">
        <f>-MIN(0,C16)</f>
        <v>15.3</v>
      </c>
      <c r="D13" s="16">
        <f>-MIN(C28,D16)</f>
        <v>14.23</v>
      </c>
      <c r="E13" s="16">
        <f>-MIN(D28,E16)</f>
        <v>13.2135</v>
      </c>
      <c r="F13" s="16">
        <f>-MIN(E28,F16)</f>
        <v>12.247825</v>
      </c>
    </row>
    <row r="14" ht="20.05" customHeight="1">
      <c r="B14" t="s" s="10">
        <v>13</v>
      </c>
      <c r="C14" s="17">
        <v>1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-162.225</v>
      </c>
      <c r="D15" s="16">
        <f>IF(D22&gt;0,-D22*$C$14,0)</f>
        <v>-170.86125</v>
      </c>
      <c r="E15" s="16">
        <f>IF(E22&gt;0,-E22*$C$14,0)</f>
        <v>-192.6246</v>
      </c>
      <c r="F15" s="16">
        <f>IF(F22&gt;0,-F22*$C$14,0)</f>
        <v>-190.593354</v>
      </c>
    </row>
    <row r="16" ht="20.05" customHeight="1">
      <c r="B16" t="s" s="10">
        <v>15</v>
      </c>
      <c r="C16" s="15">
        <f>C9+C10+C12+C15</f>
        <v>-15.3</v>
      </c>
      <c r="D16" s="16">
        <f>D9+D10+D12+D15</f>
        <v>-14.23</v>
      </c>
      <c r="E16" s="16">
        <f>E9+E10+E12+E15</f>
        <v>-13.2135</v>
      </c>
      <c r="F16" s="16">
        <f>F9+F10+F12+F15</f>
        <v>-12.247825</v>
      </c>
    </row>
    <row r="17" ht="20.05" customHeight="1">
      <c r="B17" t="s" s="10">
        <v>16</v>
      </c>
      <c r="C17" s="15">
        <f>'Balance sheet'!C28</f>
        <v>1304</v>
      </c>
      <c r="D17" s="16">
        <f>C19</f>
        <v>1304</v>
      </c>
      <c r="E17" s="16">
        <f>D19</f>
        <v>1304</v>
      </c>
      <c r="F17" s="16">
        <f>E19</f>
        <v>1304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1304</v>
      </c>
      <c r="D19" s="16">
        <f>D17+D18</f>
        <v>1304</v>
      </c>
      <c r="E19" s="16">
        <f>E17+E18</f>
        <v>1304</v>
      </c>
      <c r="F19" s="16">
        <f>F17+F18</f>
        <v>1304</v>
      </c>
    </row>
    <row r="20" ht="20.05" customHeight="1">
      <c r="B20" t="s" s="18">
        <v>19</v>
      </c>
      <c r="C20" s="15"/>
      <c r="D20" s="16"/>
      <c r="E20" s="16"/>
      <c r="F20" s="19"/>
    </row>
    <row r="21" ht="20.05" customHeight="1">
      <c r="B21" t="s" s="10">
        <v>20</v>
      </c>
      <c r="C21" s="15">
        <f>-AVERAGE('Sales'!E27)</f>
        <v>-10.5</v>
      </c>
      <c r="D21" s="16">
        <f>C21</f>
        <v>-10.5</v>
      </c>
      <c r="E21" s="16">
        <f>D21</f>
        <v>-10.5</v>
      </c>
      <c r="F21" s="16">
        <f>E21</f>
        <v>-10.5</v>
      </c>
    </row>
    <row r="22" ht="20.05" customHeight="1">
      <c r="B22" t="s" s="10">
        <v>19</v>
      </c>
      <c r="C22" s="15">
        <f>C6+C8+C21</f>
        <v>162.225</v>
      </c>
      <c r="D22" s="16">
        <f>D6+D8+D21</f>
        <v>170.86125</v>
      </c>
      <c r="E22" s="16">
        <f>E6+E8+E21</f>
        <v>192.6246</v>
      </c>
      <c r="F22" s="16">
        <f>F6+F8+F21</f>
        <v>190.593354</v>
      </c>
    </row>
    <row r="23" ht="20.05" customHeight="1">
      <c r="B23" t="s" s="18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sheet'!E28+'Balance sheet'!F28-C10</f>
        <v>2010.4</v>
      </c>
      <c r="D24" s="16">
        <f>C24-D10</f>
        <v>2014.8</v>
      </c>
      <c r="E24" s="16">
        <f>D24-E10</f>
        <v>2019.2</v>
      </c>
      <c r="F24" s="16">
        <f>E24-F10</f>
        <v>2023.6</v>
      </c>
    </row>
    <row r="25" ht="20.05" customHeight="1">
      <c r="B25" t="s" s="10">
        <v>23</v>
      </c>
      <c r="C25" s="15">
        <f>'Balance sheet'!F28-C21</f>
        <v>10.5</v>
      </c>
      <c r="D25" s="16">
        <f>C25-D21</f>
        <v>21</v>
      </c>
      <c r="E25" s="16">
        <f>D25-E21</f>
        <v>31.5</v>
      </c>
      <c r="F25" s="16">
        <f>E25-F21</f>
        <v>42</v>
      </c>
    </row>
    <row r="26" ht="20.05" customHeight="1">
      <c r="B26" t="s" s="10">
        <v>24</v>
      </c>
      <c r="C26" s="15">
        <f>C24-C25</f>
        <v>1999.9</v>
      </c>
      <c r="D26" s="16">
        <f>D24-D25</f>
        <v>1993.8</v>
      </c>
      <c r="E26" s="16">
        <f>E24-E25</f>
        <v>1987.7</v>
      </c>
      <c r="F26" s="16">
        <f>F24-F25</f>
        <v>1981.6</v>
      </c>
    </row>
    <row r="27" ht="20.05" customHeight="1">
      <c r="B27" t="s" s="10">
        <v>11</v>
      </c>
      <c r="C27" s="15">
        <f>'Balance sheet'!G28+C12</f>
        <v>406.6</v>
      </c>
      <c r="D27" s="16">
        <f>C27+D12</f>
        <v>386.27</v>
      </c>
      <c r="E27" s="16">
        <f>D27+E12</f>
        <v>366.9565</v>
      </c>
      <c r="F27" s="16">
        <f>E27+F12</f>
        <v>348.608675</v>
      </c>
    </row>
    <row r="28" ht="20.05" customHeight="1">
      <c r="B28" t="s" s="10">
        <v>12</v>
      </c>
      <c r="C28" s="15">
        <f>C13</f>
        <v>15.3</v>
      </c>
      <c r="D28" s="16">
        <f>C28+D13</f>
        <v>29.53</v>
      </c>
      <c r="E28" s="16">
        <f>D28+E13</f>
        <v>42.7435</v>
      </c>
      <c r="F28" s="16">
        <f>E28+F13</f>
        <v>54.991325</v>
      </c>
    </row>
    <row r="29" ht="20.05" customHeight="1">
      <c r="B29" t="s" s="10">
        <v>14</v>
      </c>
      <c r="C29" s="15">
        <f>'Balance sheet'!H28+C22+C15</f>
        <v>2882</v>
      </c>
      <c r="D29" s="16">
        <f>C29+D22+D15</f>
        <v>2882</v>
      </c>
      <c r="E29" s="16">
        <f>D29+E22+E15</f>
        <v>2882</v>
      </c>
      <c r="F29" s="16">
        <f>E29+F22+F15</f>
        <v>2882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882.1</v>
      </c>
      <c r="D31" s="16">
        <f>D19-D27-D28</f>
        <v>888.2</v>
      </c>
      <c r="E31" s="16">
        <f>E19-E27-E28</f>
        <v>894.3</v>
      </c>
      <c r="F31" s="16">
        <f>F19-F27-F28</f>
        <v>900.4</v>
      </c>
    </row>
    <row r="32" ht="20.05" customHeight="1">
      <c r="B32" t="s" s="18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'!L28-C11</f>
        <v>1359.325</v>
      </c>
      <c r="D33" s="16">
        <f>C33-D11</f>
        <v>1536.28625</v>
      </c>
      <c r="E33" s="16">
        <f>D33-E11</f>
        <v>1735.01085</v>
      </c>
      <c r="F33" s="16">
        <f>E33-F11</f>
        <v>1931.704204</v>
      </c>
    </row>
    <row r="34" ht="20.05" customHeight="1">
      <c r="B34" t="s" s="10">
        <v>29</v>
      </c>
      <c r="C34" s="15"/>
      <c r="D34" s="16"/>
      <c r="E34" s="16"/>
      <c r="F34" s="16">
        <v>5670000132096</v>
      </c>
    </row>
    <row r="35" ht="20.05" customHeight="1">
      <c r="B35" t="s" s="10">
        <v>29</v>
      </c>
      <c r="C35" s="15"/>
      <c r="D35" s="16"/>
      <c r="E35" s="16"/>
      <c r="F35" s="16">
        <f>(F34/1000000000)</f>
        <v>5670.000132096</v>
      </c>
    </row>
    <row r="36" ht="20.05" customHeight="1">
      <c r="B36" t="s" s="10">
        <v>30</v>
      </c>
      <c r="C36" s="15"/>
      <c r="D36" s="16"/>
      <c r="E36" s="16"/>
      <c r="F36" s="20">
        <f>F35/(F19+F26)</f>
        <v>1.7257122388897</v>
      </c>
    </row>
    <row r="37" ht="20.05" customHeight="1">
      <c r="B37" t="s" s="10">
        <v>31</v>
      </c>
      <c r="C37" s="15"/>
      <c r="D37" s="16"/>
      <c r="E37" s="16"/>
      <c r="F37" s="21">
        <f>-(C15+D15+E15+F15)/F35</f>
        <v>0.126332308167903</v>
      </c>
    </row>
    <row r="38" ht="20.05" customHeight="1">
      <c r="B38" t="s" s="10">
        <v>32</v>
      </c>
      <c r="C38" s="15"/>
      <c r="D38" s="16"/>
      <c r="E38" s="16"/>
      <c r="F38" s="16">
        <f>SUM(C9:F10)</f>
        <v>740.704204</v>
      </c>
    </row>
    <row r="39" ht="20.05" customHeight="1">
      <c r="B39" t="s" s="10">
        <v>33</v>
      </c>
      <c r="C39" s="15"/>
      <c r="D39" s="16"/>
      <c r="E39" s="16"/>
      <c r="F39" s="16">
        <f>'Balance sheet'!E28/F38</f>
        <v>2.70823358253817</v>
      </c>
    </row>
    <row r="40" ht="20.05" customHeight="1">
      <c r="B40" t="s" s="10">
        <v>27</v>
      </c>
      <c r="C40" s="15"/>
      <c r="D40" s="16"/>
      <c r="E40" s="16"/>
      <c r="F40" s="16">
        <f>F35/F38</f>
        <v>7.65487775211277</v>
      </c>
    </row>
    <row r="41" ht="20.05" customHeight="1">
      <c r="B41" t="s" s="10">
        <v>34</v>
      </c>
      <c r="C41" s="15"/>
      <c r="D41" s="16"/>
      <c r="E41" s="16"/>
      <c r="F41" s="16">
        <v>12</v>
      </c>
    </row>
    <row r="42" ht="20.05" customHeight="1">
      <c r="B42" t="s" s="10">
        <v>35</v>
      </c>
      <c r="C42" s="15"/>
      <c r="D42" s="16"/>
      <c r="E42" s="16"/>
      <c r="F42" s="16">
        <f>F38*F41</f>
        <v>8888.450448</v>
      </c>
    </row>
    <row r="43" ht="20.05" customHeight="1">
      <c r="B43" t="s" s="10">
        <v>36</v>
      </c>
      <c r="C43" s="15"/>
      <c r="D43" s="16"/>
      <c r="E43" s="16"/>
      <c r="F43" s="16">
        <f>F35/F45</f>
        <v>3.00000006989206</v>
      </c>
    </row>
    <row r="44" ht="20.05" customHeight="1">
      <c r="B44" t="s" s="10">
        <v>37</v>
      </c>
      <c r="C44" s="15"/>
      <c r="D44" s="16"/>
      <c r="E44" s="16"/>
      <c r="F44" s="16">
        <f>F42/F43</f>
        <v>2962.816746974210</v>
      </c>
    </row>
    <row r="45" ht="20.05" customHeight="1">
      <c r="B45" t="s" s="10">
        <v>38</v>
      </c>
      <c r="C45" s="15"/>
      <c r="D45" s="16"/>
      <c r="E45" s="16"/>
      <c r="F45" s="16">
        <v>1890</v>
      </c>
    </row>
    <row r="46" ht="20.05" customHeight="1">
      <c r="B46" t="s" s="10">
        <v>39</v>
      </c>
      <c r="C46" s="15"/>
      <c r="D46" s="16"/>
      <c r="E46" s="16"/>
      <c r="F46" s="21">
        <f>F44/F45-1</f>
        <v>0.567627908451963</v>
      </c>
    </row>
    <row r="47" ht="20.05" customHeight="1">
      <c r="B47" t="s" s="10">
        <v>40</v>
      </c>
      <c r="C47" s="15"/>
      <c r="D47" s="16"/>
      <c r="E47" s="16"/>
      <c r="F47" s="21">
        <f>'Sales'!C27/'Sales'!C23-1</f>
        <v>0.426267281105991</v>
      </c>
    </row>
    <row r="48" ht="20.05" customHeight="1">
      <c r="B48" t="s" s="10">
        <v>41</v>
      </c>
      <c r="C48" s="15"/>
      <c r="D48" s="16"/>
      <c r="E48" s="16"/>
      <c r="F48" s="21">
        <f>('Sales'!D22+'Sales'!D26+'Sales'!D25+'Sales'!D23+'Sales'!D24)/('Sales'!C22+'Sales'!C23+'Sales'!C25+'Sales'!C26+'Sales'!C24)-1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34</v>
      </c>
      <c r="E2" t="s" s="5">
        <v>42</v>
      </c>
      <c r="F2" t="s" s="5">
        <v>43</v>
      </c>
      <c r="G2" t="s" s="5">
        <v>44</v>
      </c>
      <c r="H2" t="s" s="5">
        <v>6</v>
      </c>
      <c r="I2" t="s" s="5">
        <v>6</v>
      </c>
      <c r="J2" t="s" s="5">
        <v>34</v>
      </c>
    </row>
    <row r="3" ht="20.25" customHeight="1">
      <c r="B3" s="23">
        <v>2016</v>
      </c>
      <c r="C3" s="24">
        <v>341</v>
      </c>
      <c r="D3" s="25"/>
      <c r="E3" s="25">
        <v>6.325</v>
      </c>
      <c r="F3" s="26">
        <v>65.40000000000001</v>
      </c>
      <c r="G3" s="27"/>
      <c r="H3" s="9">
        <f>(E3+F3-C3)/C3</f>
        <v>-0.78966275659824</v>
      </c>
      <c r="I3" s="9"/>
      <c r="J3" s="9"/>
    </row>
    <row r="4" ht="20.05" customHeight="1">
      <c r="B4" s="28"/>
      <c r="C4" s="13">
        <f>743-C3</f>
        <v>402</v>
      </c>
      <c r="D4" s="14"/>
      <c r="E4" s="14">
        <v>6.325</v>
      </c>
      <c r="F4" s="16">
        <f>138-F3</f>
        <v>72.59999999999999</v>
      </c>
      <c r="G4" s="12">
        <f>C4/C3-1</f>
        <v>0.178885630498534</v>
      </c>
      <c r="H4" s="12">
        <f>(E4+F4-C4)/C4</f>
        <v>-0.803669154228856</v>
      </c>
      <c r="I4" s="12"/>
      <c r="J4" s="12"/>
    </row>
    <row r="5" ht="20.05" customHeight="1">
      <c r="B5" s="28"/>
      <c r="C5" s="13">
        <f>1191-C4-C3</f>
        <v>448</v>
      </c>
      <c r="D5" s="14"/>
      <c r="E5" s="14">
        <v>6.325</v>
      </c>
      <c r="F5" s="16">
        <f>233-F4-F3</f>
        <v>95</v>
      </c>
      <c r="G5" s="12">
        <f>C5/C4-1</f>
        <v>0.114427860696517</v>
      </c>
      <c r="H5" s="12">
        <f>(E5+F5-C5)/C5</f>
        <v>-0.773828125</v>
      </c>
      <c r="I5" s="12"/>
      <c r="J5" s="12"/>
    </row>
    <row r="6" ht="20.05" customHeight="1">
      <c r="B6" s="28"/>
      <c r="C6" s="13">
        <f>1852-C5-C4-C3</f>
        <v>661</v>
      </c>
      <c r="D6" s="14"/>
      <c r="E6" s="14">
        <v>6.325</v>
      </c>
      <c r="F6" s="16">
        <f>336-SUM(F3:F5)</f>
        <v>103</v>
      </c>
      <c r="G6" s="12">
        <f>C6/C5-1</f>
        <v>0.475446428571429</v>
      </c>
      <c r="H6" s="12">
        <f>(E6+F6-C6)/C6</f>
        <v>-0.834606656580938</v>
      </c>
      <c r="I6" s="12"/>
      <c r="J6" s="12"/>
    </row>
    <row r="7" ht="20.05" customHeight="1">
      <c r="B7" s="29">
        <v>2017</v>
      </c>
      <c r="C7" s="13">
        <v>480.5</v>
      </c>
      <c r="D7" s="14"/>
      <c r="E7" s="14">
        <v>6.7</v>
      </c>
      <c r="F7" s="16">
        <v>76.2</v>
      </c>
      <c r="G7" s="12">
        <f>C7/C6-1</f>
        <v>-0.273071104387292</v>
      </c>
      <c r="H7" s="12">
        <f>(E7+F7-C7)/C7</f>
        <v>-0.827471383975026</v>
      </c>
      <c r="I7" s="12">
        <f>AVERAGE(H4:H7)</f>
        <v>-0.809893829946205</v>
      </c>
      <c r="J7" s="12"/>
    </row>
    <row r="8" ht="20.05" customHeight="1">
      <c r="B8" s="28"/>
      <c r="C8" s="13">
        <f>852.7-C7</f>
        <v>372.2</v>
      </c>
      <c r="D8" s="14"/>
      <c r="E8" s="14">
        <v>6.7</v>
      </c>
      <c r="F8" s="16">
        <f>88-F7</f>
        <v>11.8</v>
      </c>
      <c r="G8" s="12">
        <f>C8/C7-1</f>
        <v>-0.225390218522373</v>
      </c>
      <c r="H8" s="12">
        <f>(E8+F8-C8)/C8</f>
        <v>-0.950295540032241</v>
      </c>
      <c r="I8" s="12">
        <f>AVERAGE(H5:H8)</f>
        <v>-0.846550426397051</v>
      </c>
      <c r="J8" s="12"/>
    </row>
    <row r="9" ht="20.05" customHeight="1">
      <c r="B9" s="28"/>
      <c r="C9" s="13">
        <f>1463-C8-C7</f>
        <v>610.3</v>
      </c>
      <c r="D9" s="14"/>
      <c r="E9" s="14">
        <v>6.7</v>
      </c>
      <c r="F9" s="16">
        <f>220-F8-F7</f>
        <v>132</v>
      </c>
      <c r="G9" s="12">
        <f>C9/C8-1</f>
        <v>0.639709833422891</v>
      </c>
      <c r="H9" s="12">
        <f>(E9+F9-C9)/C9</f>
        <v>-0.772734720629199</v>
      </c>
      <c r="I9" s="12">
        <f>AVERAGE(H6:H9)</f>
        <v>-0.846277075304351</v>
      </c>
      <c r="J9" s="12"/>
    </row>
    <row r="10" ht="20.05" customHeight="1">
      <c r="B10" s="28"/>
      <c r="C10" s="13">
        <f>2310-SUM(C7:C9)</f>
        <v>847</v>
      </c>
      <c r="D10" s="14"/>
      <c r="E10" s="14">
        <v>6.7</v>
      </c>
      <c r="F10" s="16">
        <f>403-SUM(F7:F9)</f>
        <v>183</v>
      </c>
      <c r="G10" s="12">
        <f>C10/C9-1</f>
        <v>0.387842044895953</v>
      </c>
      <c r="H10" s="12">
        <f>(E10+F10-C10)/C10</f>
        <v>-0.77603305785124</v>
      </c>
      <c r="I10" s="12">
        <f>AVERAGE(H7:H10)</f>
        <v>-0.831633675621927</v>
      </c>
      <c r="J10" s="12"/>
    </row>
    <row r="11" ht="20.05" customHeight="1">
      <c r="B11" s="29">
        <v>2018</v>
      </c>
      <c r="C11" s="13">
        <v>483</v>
      </c>
      <c r="D11" s="14"/>
      <c r="E11" s="14">
        <v>8.6</v>
      </c>
      <c r="F11" s="16">
        <v>33</v>
      </c>
      <c r="G11" s="12">
        <f>C11/C10-1</f>
        <v>-0.429752066115702</v>
      </c>
      <c r="H11" s="12">
        <f>(E11+F11-C11)/C11</f>
        <v>-0.913871635610766</v>
      </c>
      <c r="I11" s="12">
        <f>AVERAGE(H8:H11)</f>
        <v>-0.853233738530862</v>
      </c>
      <c r="J11" s="12"/>
    </row>
    <row r="12" ht="20.05" customHeight="1">
      <c r="B12" s="28"/>
      <c r="C12" s="13">
        <f>734-C11</f>
        <v>251</v>
      </c>
      <c r="D12" s="14"/>
      <c r="E12" s="14">
        <v>8.6</v>
      </c>
      <c r="F12" s="16">
        <f>9.5-F11</f>
        <v>-23.5</v>
      </c>
      <c r="G12" s="12">
        <f>C12/C11-1</f>
        <v>-0.480331262939959</v>
      </c>
      <c r="H12" s="12">
        <f>(E12+F12-C12)/C12</f>
        <v>-1.0593625498008</v>
      </c>
      <c r="I12" s="12">
        <f>AVERAGE(H9:H12)</f>
        <v>-0.880500490973001</v>
      </c>
      <c r="J12" s="12"/>
    </row>
    <row r="13" ht="20.05" customHeight="1">
      <c r="B13" s="28"/>
      <c r="C13" s="13">
        <f>1548-C12-C11</f>
        <v>814</v>
      </c>
      <c r="D13" s="14"/>
      <c r="E13" s="14">
        <v>8.6</v>
      </c>
      <c r="F13" s="16">
        <f>236-F12-F11</f>
        <v>226.5</v>
      </c>
      <c r="G13" s="12">
        <f>C13/C12-1</f>
        <v>2.24302788844622</v>
      </c>
      <c r="H13" s="12">
        <f>(E13+F13-C13)/C13</f>
        <v>-0.711179361179361</v>
      </c>
      <c r="I13" s="12">
        <f>AVERAGE(H10:H13)</f>
        <v>-0.865111651110542</v>
      </c>
      <c r="J13" s="12"/>
    </row>
    <row r="14" ht="20.05" customHeight="1">
      <c r="B14" s="28"/>
      <c r="C14" s="13">
        <f>2266-SUM(C11:C13)</f>
        <v>718</v>
      </c>
      <c r="D14" s="14"/>
      <c r="E14" s="14">
        <v>8.6</v>
      </c>
      <c r="F14" s="16">
        <f>404-SUM(F11:F13)</f>
        <v>168</v>
      </c>
      <c r="G14" s="12">
        <f>C14/C13-1</f>
        <v>-0.117936117936118</v>
      </c>
      <c r="H14" s="12">
        <f>(E14+F14-C14)/C14</f>
        <v>-0.754038997214485</v>
      </c>
      <c r="I14" s="12">
        <f>AVERAGE(H11:H14)</f>
        <v>-0.859613135951353</v>
      </c>
      <c r="J14" s="12"/>
    </row>
    <row r="15" ht="20.05" customHeight="1">
      <c r="B15" s="29">
        <v>2019</v>
      </c>
      <c r="C15" s="13">
        <v>554</v>
      </c>
      <c r="D15" s="14"/>
      <c r="E15" s="14">
        <v>9.15</v>
      </c>
      <c r="F15" s="16">
        <v>75.3</v>
      </c>
      <c r="G15" s="12">
        <f>C15/C14-1</f>
        <v>-0.228412256267409</v>
      </c>
      <c r="H15" s="12">
        <f>(E15+F15-C15)/C15</f>
        <v>-0.847563176895307</v>
      </c>
      <c r="I15" s="12">
        <f>AVERAGE(H12:H15)</f>
        <v>-0.843036021272488</v>
      </c>
      <c r="J15" s="12"/>
    </row>
    <row r="16" ht="20.05" customHeight="1">
      <c r="B16" s="28"/>
      <c r="C16" s="13">
        <f>987-C15</f>
        <v>433</v>
      </c>
      <c r="D16" s="14"/>
      <c r="E16" s="14">
        <v>9.15</v>
      </c>
      <c r="F16" s="16">
        <f>88-F15</f>
        <v>12.7</v>
      </c>
      <c r="G16" s="12">
        <f>C16/C15-1</f>
        <v>-0.21841155234657</v>
      </c>
      <c r="H16" s="12">
        <f>(E16+F16-C16)/C16</f>
        <v>-0.949538106235566</v>
      </c>
      <c r="I16" s="12">
        <f>AVERAGE(H13:H16)</f>
        <v>-0.8155799103811801</v>
      </c>
      <c r="J16" s="12"/>
    </row>
    <row r="17" ht="20.05" customHeight="1">
      <c r="B17" s="28"/>
      <c r="C17" s="13">
        <f>1419-C16-C15</f>
        <v>432</v>
      </c>
      <c r="D17" s="14"/>
      <c r="E17" s="14">
        <v>9.15</v>
      </c>
      <c r="F17" s="16">
        <f>140-F16-F15</f>
        <v>52</v>
      </c>
      <c r="G17" s="12">
        <f>C17/C16-1</f>
        <v>-0.0023094688221709</v>
      </c>
      <c r="H17" s="12">
        <f>(E17+F17-C17)/C17</f>
        <v>-0.858449074074074</v>
      </c>
      <c r="I17" s="12">
        <f>AVERAGE(H14:H17)</f>
        <v>-0.852397338604858</v>
      </c>
      <c r="J17" s="12"/>
    </row>
    <row r="18" ht="20.05" customHeight="1">
      <c r="B18" s="28"/>
      <c r="C18" s="13">
        <f>2272-SUM(C15:C17)</f>
        <v>853</v>
      </c>
      <c r="D18" s="14"/>
      <c r="E18" s="14">
        <v>9.15</v>
      </c>
      <c r="F18" s="16">
        <f>307-SUM(F15:F17)</f>
        <v>167</v>
      </c>
      <c r="G18" s="12">
        <f>C18/C17-1</f>
        <v>0.974537037037037</v>
      </c>
      <c r="H18" s="12">
        <f>(E18+F18-C18)/C18</f>
        <v>-0.793493552168816</v>
      </c>
      <c r="I18" s="12">
        <f>AVERAGE(H15:H18)</f>
        <v>-0.862260977343441</v>
      </c>
      <c r="J18" s="12"/>
    </row>
    <row r="19" ht="20.05" customHeight="1">
      <c r="B19" s="29">
        <v>2020</v>
      </c>
      <c r="C19" s="13">
        <v>401</v>
      </c>
      <c r="D19" s="14"/>
      <c r="E19" s="14">
        <v>8.75</v>
      </c>
      <c r="F19" s="16">
        <v>24.4</v>
      </c>
      <c r="G19" s="12">
        <f>C19/C18-1</f>
        <v>-0.52989449003517</v>
      </c>
      <c r="H19" s="12">
        <f>(E19+F19-C19)/C19</f>
        <v>-0.917331670822943</v>
      </c>
      <c r="I19" s="12">
        <f>AVERAGE(H16:H19)</f>
        <v>-0.87970310082535</v>
      </c>
      <c r="J19" s="12"/>
    </row>
    <row r="20" ht="20.05" customHeight="1">
      <c r="B20" s="28"/>
      <c r="C20" s="13">
        <f>890-C19</f>
        <v>489</v>
      </c>
      <c r="D20" s="14"/>
      <c r="E20" s="14">
        <v>8.75</v>
      </c>
      <c r="F20" s="16">
        <f>94-F19</f>
        <v>69.59999999999999</v>
      </c>
      <c r="G20" s="12">
        <f>C20/C19-1</f>
        <v>0.219451371571072</v>
      </c>
      <c r="H20" s="12">
        <f>(E20+F20-C20)/C20</f>
        <v>-0.839775051124744</v>
      </c>
      <c r="I20" s="12">
        <f>AVERAGE(H17:H20)</f>
        <v>-0.852262337047644</v>
      </c>
      <c r="J20" s="12"/>
    </row>
    <row r="21" ht="20.05" customHeight="1">
      <c r="B21" s="28"/>
      <c r="C21" s="13">
        <f>1313-C20-C19</f>
        <v>423</v>
      </c>
      <c r="D21" s="19"/>
      <c r="E21" s="14">
        <v>8.75</v>
      </c>
      <c r="F21" s="16">
        <f>154-F20-F19</f>
        <v>60</v>
      </c>
      <c r="G21" s="12">
        <f>C21/C20-1</f>
        <v>-0.134969325153374</v>
      </c>
      <c r="H21" s="12">
        <f>(E21+F21-C21)/C21</f>
        <v>-0.837470449172577</v>
      </c>
      <c r="I21" s="12">
        <f>AVERAGE(H18:H21)</f>
        <v>-0.84701768082227</v>
      </c>
      <c r="J21" s="12"/>
    </row>
    <row r="22" ht="20.05" customHeight="1">
      <c r="B22" s="28"/>
      <c r="C22" s="13">
        <f>1813-SUM(C19:C21)</f>
        <v>500</v>
      </c>
      <c r="D22" s="14"/>
      <c r="E22" s="14">
        <v>8.75</v>
      </c>
      <c r="F22" s="16">
        <f>276-SUM(F19:F21)</f>
        <v>122</v>
      </c>
      <c r="G22" s="12">
        <f>C22/C21-1</f>
        <v>0.182033096926714</v>
      </c>
      <c r="H22" s="12">
        <f>(E22+F22-C22)/C22</f>
        <v>-0.7385</v>
      </c>
      <c r="I22" s="12">
        <f>AVERAGE(H19:H22)</f>
        <v>-0.833269292780066</v>
      </c>
      <c r="J22" s="12"/>
    </row>
    <row r="23" ht="20.05" customHeight="1">
      <c r="B23" s="29">
        <v>2021</v>
      </c>
      <c r="C23" s="13">
        <v>434</v>
      </c>
      <c r="D23" s="14"/>
      <c r="E23" s="14">
        <v>10.5</v>
      </c>
      <c r="F23" s="16">
        <v>79.5</v>
      </c>
      <c r="G23" s="12">
        <f>C23/C22-1</f>
        <v>-0.132</v>
      </c>
      <c r="H23" s="12">
        <f>(E23+F23-C23)/C23</f>
        <v>-0.792626728110599</v>
      </c>
      <c r="I23" s="12">
        <f>AVERAGE(H20:H23)</f>
        <v>-0.80209305710198</v>
      </c>
      <c r="J23" s="12"/>
    </row>
    <row r="24" ht="20.05" customHeight="1">
      <c r="B24" s="28"/>
      <c r="C24" s="13">
        <f>946-C23</f>
        <v>512</v>
      </c>
      <c r="D24" s="19"/>
      <c r="E24" s="14">
        <v>10.5</v>
      </c>
      <c r="F24" s="16">
        <f>146-F23</f>
        <v>66.5</v>
      </c>
      <c r="G24" s="12">
        <f>C24/C23-1</f>
        <v>0.179723502304147</v>
      </c>
      <c r="H24" s="12">
        <f>(E24+F24-C24)/C24</f>
        <v>-0.849609375</v>
      </c>
      <c r="I24" s="12">
        <f>AVERAGE(H21:H24)</f>
        <v>-0.804551638070794</v>
      </c>
      <c r="J24" s="12"/>
    </row>
    <row r="25" ht="20.05" customHeight="1">
      <c r="B25" s="28"/>
      <c r="C25" s="13">
        <f>1483-C24-C23</f>
        <v>537</v>
      </c>
      <c r="D25" s="19"/>
      <c r="E25" s="14">
        <v>10.5</v>
      </c>
      <c r="F25" s="14">
        <f>226-F24-F23</f>
        <v>80</v>
      </c>
      <c r="G25" s="12">
        <f>C25/C24-1</f>
        <v>0.048828125</v>
      </c>
      <c r="H25" s="12">
        <f>(E25+F25-C25)/C25</f>
        <v>-0.83147113594041</v>
      </c>
      <c r="I25" s="12">
        <f>AVERAGE(H22:H25)</f>
        <v>-0.803051809762752</v>
      </c>
      <c r="J25" s="12"/>
    </row>
    <row r="26" ht="20.05" customHeight="1">
      <c r="B26" s="28"/>
      <c r="C26" s="13">
        <f>2015-SUM(C23:C25)</f>
        <v>532</v>
      </c>
      <c r="D26" s="19"/>
      <c r="E26" s="14">
        <v>10.5</v>
      </c>
      <c r="F26" s="14">
        <f>381-SUM(F23:F25)</f>
        <v>155</v>
      </c>
      <c r="G26" s="12">
        <f>C26/C25-1</f>
        <v>-0.00931098696461825</v>
      </c>
      <c r="H26" s="12">
        <f>(E26+F26-C26)/C26</f>
        <v>-0.68890977443609</v>
      </c>
      <c r="I26" s="12">
        <f>AVERAGE(H23:H26)</f>
        <v>-0.790654253371775</v>
      </c>
      <c r="J26" s="12"/>
    </row>
    <row r="27" ht="20.05" customHeight="1">
      <c r="B27" s="29">
        <v>2022</v>
      </c>
      <c r="C27" s="13">
        <v>619</v>
      </c>
      <c r="D27" s="19"/>
      <c r="E27" s="14">
        <v>10.5</v>
      </c>
      <c r="F27" s="14">
        <v>154</v>
      </c>
      <c r="G27" s="12">
        <f>C27/C26-1</f>
        <v>0.163533834586466</v>
      </c>
      <c r="H27" s="12">
        <f>(E27+F27-C27)/C27</f>
        <v>-0.734248788368336</v>
      </c>
      <c r="I27" s="12">
        <f>AVERAGE(H24:H27)</f>
        <v>-0.7760597684362091</v>
      </c>
      <c r="J27" s="12">
        <v>-0.734248788368336</v>
      </c>
    </row>
    <row r="28" ht="20.05" customHeight="1">
      <c r="B28" s="28"/>
      <c r="C28" s="13"/>
      <c r="D28" s="14">
        <f>'Model'!C6</f>
        <v>649.95</v>
      </c>
      <c r="E28" s="14"/>
      <c r="F28" s="14"/>
      <c r="G28" s="30"/>
      <c r="H28" s="31"/>
      <c r="I28" s="31"/>
      <c r="J28" s="12">
        <f>'Model'!C7</f>
        <v>-0.734248788368336</v>
      </c>
    </row>
    <row r="29" ht="20.05" customHeight="1">
      <c r="B29" s="28"/>
      <c r="C29" s="13"/>
      <c r="D29" s="14">
        <f>'Model'!D6</f>
        <v>682.4475</v>
      </c>
      <c r="E29" s="14"/>
      <c r="F29" s="14"/>
      <c r="G29" s="30"/>
      <c r="H29" s="31"/>
      <c r="I29" s="31"/>
      <c r="J29" s="31"/>
    </row>
    <row r="30" ht="20.05" customHeight="1">
      <c r="B30" s="28"/>
      <c r="C30" s="13"/>
      <c r="D30" s="14">
        <f>'Model'!E6</f>
        <v>764.3412</v>
      </c>
      <c r="E30" s="14"/>
      <c r="F30" s="14"/>
      <c r="G30" s="30"/>
      <c r="H30" s="31"/>
      <c r="I30" s="31"/>
      <c r="J30" s="31"/>
    </row>
    <row r="31" ht="20.05" customHeight="1">
      <c r="B31" s="29">
        <v>2023</v>
      </c>
      <c r="C31" s="13"/>
      <c r="D31" s="14">
        <f>'Model'!F6</f>
        <v>756.6977879999999</v>
      </c>
      <c r="E31" s="14"/>
      <c r="F31" s="14"/>
      <c r="G31" s="30"/>
      <c r="H31" s="31"/>
      <c r="I31" s="31"/>
      <c r="J31" s="31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2" customWidth="1"/>
    <col min="2" max="2" width="9.5625" style="32" customWidth="1"/>
    <col min="3" max="14" width="10.3672" style="32" customWidth="1"/>
    <col min="15" max="16384" width="16.3516" style="32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6.75" customHeight="1">
      <c r="B3" t="s" s="5">
        <v>1</v>
      </c>
      <c r="C3" t="s" s="5">
        <v>45</v>
      </c>
      <c r="D3" t="s" s="5">
        <v>8</v>
      </c>
      <c r="E3" t="s" s="5">
        <v>9</v>
      </c>
      <c r="F3" t="s" s="5">
        <v>11</v>
      </c>
      <c r="G3" t="s" s="5">
        <v>14</v>
      </c>
      <c r="H3" t="s" s="5">
        <v>10</v>
      </c>
      <c r="I3" t="s" s="5">
        <v>46</v>
      </c>
      <c r="J3" t="s" s="5">
        <v>3</v>
      </c>
      <c r="K3" t="s" s="5">
        <v>34</v>
      </c>
      <c r="L3" t="s" s="5">
        <v>28</v>
      </c>
      <c r="M3" t="s" s="5">
        <v>34</v>
      </c>
      <c r="N3" s="33"/>
    </row>
    <row r="4" ht="21.4" customHeight="1">
      <c r="B4" s="23">
        <v>2016</v>
      </c>
      <c r="C4" s="34">
        <v>293</v>
      </c>
      <c r="D4" s="26">
        <v>-37.4</v>
      </c>
      <c r="E4" s="26">
        <v>-10.9</v>
      </c>
      <c r="F4" s="26">
        <v>0</v>
      </c>
      <c r="G4" s="26">
        <v>0</v>
      </c>
      <c r="H4" s="26">
        <v>0</v>
      </c>
      <c r="I4" s="35">
        <f>D4+E4</f>
        <v>-48.3</v>
      </c>
      <c r="J4" s="35"/>
      <c r="K4" s="26"/>
      <c r="L4" s="26">
        <f>-(F4+G4)</f>
        <v>0</v>
      </c>
      <c r="M4" s="26"/>
      <c r="N4" s="26">
        <v>1</v>
      </c>
    </row>
    <row r="5" ht="21.2" customHeight="1">
      <c r="B5" s="28"/>
      <c r="C5" s="15">
        <f>689-C4</f>
        <v>396</v>
      </c>
      <c r="D5" s="16">
        <f>45.7-D4</f>
        <v>83.09999999999999</v>
      </c>
      <c r="E5" s="16">
        <f>-16.7-E4</f>
        <v>-5.8</v>
      </c>
      <c r="F5" s="16">
        <v>0</v>
      </c>
      <c r="G5" s="16">
        <v>-99</v>
      </c>
      <c r="H5" s="16">
        <v>-99</v>
      </c>
      <c r="I5" s="36">
        <f>D5+E5</f>
        <v>77.3</v>
      </c>
      <c r="J5" s="36"/>
      <c r="K5" s="16"/>
      <c r="L5" s="16">
        <f>L4-(F5+G5)</f>
        <v>99</v>
      </c>
      <c r="M5" s="16"/>
      <c r="N5" s="16">
        <f>1+N4</f>
        <v>2</v>
      </c>
    </row>
    <row r="6" ht="21.2" customHeight="1">
      <c r="B6" s="28"/>
      <c r="C6" s="15">
        <f>1086-C5-C4</f>
        <v>397</v>
      </c>
      <c r="D6" s="16">
        <f>89.2-D5-D4</f>
        <v>43.5</v>
      </c>
      <c r="E6" s="16">
        <f>-24.9-E5-E4</f>
        <v>-8.199999999999999</v>
      </c>
      <c r="F6" s="16">
        <v>0</v>
      </c>
      <c r="G6" s="16">
        <v>0</v>
      </c>
      <c r="H6" s="16">
        <v>0</v>
      </c>
      <c r="I6" s="36">
        <f>D6+E6</f>
        <v>35.3</v>
      </c>
      <c r="J6" s="36"/>
      <c r="K6" s="16"/>
      <c r="L6" s="16">
        <f>L5-(F6+G6)</f>
        <v>99</v>
      </c>
      <c r="M6" s="16"/>
      <c r="N6" s="16">
        <f>1+N5</f>
        <v>3</v>
      </c>
    </row>
    <row r="7" ht="21.2" customHeight="1">
      <c r="B7" s="28"/>
      <c r="C7" s="15">
        <f>1605-SUM(C4:C6)</f>
        <v>519</v>
      </c>
      <c r="D7" s="16">
        <f>205-SUM(D4:D6)</f>
        <v>115.8</v>
      </c>
      <c r="E7" s="16">
        <f>-41.3-SUM(E4:E6)</f>
        <v>-16.4</v>
      </c>
      <c r="F7" s="16">
        <f>0-SUM(F4:F6)</f>
        <v>0</v>
      </c>
      <c r="G7" s="16">
        <f>-99-SUM(G4:G6)</f>
        <v>0</v>
      </c>
      <c r="H7" s="16">
        <f>-99-SUM(H4:H6)</f>
        <v>0</v>
      </c>
      <c r="I7" s="36">
        <f>D7+E7</f>
        <v>99.40000000000001</v>
      </c>
      <c r="J7" s="36"/>
      <c r="K7" s="16"/>
      <c r="L7" s="16">
        <f>L6-(F7+G7)</f>
        <v>99</v>
      </c>
      <c r="M7" s="16"/>
      <c r="N7" s="16">
        <f>1+N6</f>
        <v>4</v>
      </c>
    </row>
    <row r="8" ht="21.2" customHeight="1">
      <c r="B8" s="29">
        <v>2017</v>
      </c>
      <c r="C8" s="15">
        <v>507</v>
      </c>
      <c r="D8" s="16">
        <v>137.2</v>
      </c>
      <c r="E8" s="16">
        <v>-7.4</v>
      </c>
      <c r="F8" s="16">
        <v>0</v>
      </c>
      <c r="G8" s="16">
        <v>0</v>
      </c>
      <c r="H8" s="16">
        <v>0</v>
      </c>
      <c r="I8" s="36">
        <f>D8+E8</f>
        <v>129.8</v>
      </c>
      <c r="J8" s="36">
        <f>AVERAGE(I5:I8)</f>
        <v>85.45</v>
      </c>
      <c r="K8" s="16"/>
      <c r="L8" s="16">
        <f>L7-(F8+G8)</f>
        <v>99</v>
      </c>
      <c r="M8" s="16"/>
      <c r="N8" s="16">
        <f>1+N7</f>
        <v>5</v>
      </c>
    </row>
    <row r="9" ht="21.2" customHeight="1">
      <c r="B9" s="28"/>
      <c r="C9" s="15">
        <f>1122-C8</f>
        <v>615</v>
      </c>
      <c r="D9" s="16">
        <f>346.8-D8</f>
        <v>209.6</v>
      </c>
      <c r="E9" s="16">
        <f>-19.6-E8</f>
        <v>-12.2</v>
      </c>
      <c r="F9" s="16">
        <v>0</v>
      </c>
      <c r="G9" s="16">
        <v>-224</v>
      </c>
      <c r="H9" s="16">
        <v>-224</v>
      </c>
      <c r="I9" s="36">
        <f>D9+E9</f>
        <v>197.4</v>
      </c>
      <c r="J9" s="36">
        <f>AVERAGE(I6:I9)</f>
        <v>115.475</v>
      </c>
      <c r="K9" s="16"/>
      <c r="L9" s="16">
        <f>L8-(F9+G9)</f>
        <v>323</v>
      </c>
      <c r="M9" s="16"/>
      <c r="N9" s="16">
        <f>1+N8</f>
        <v>6</v>
      </c>
    </row>
    <row r="10" ht="21.2" customHeight="1">
      <c r="B10" s="28"/>
      <c r="C10" s="15">
        <f>1581-SUM(C8:C9)</f>
        <v>459</v>
      </c>
      <c r="D10" s="16">
        <f>287.1-SUM(D8:D9)</f>
        <v>-59.7</v>
      </c>
      <c r="E10" s="16">
        <f>-128.2-SUM(E8:E9)</f>
        <v>-108.6</v>
      </c>
      <c r="F10" s="16">
        <f>50-SUM(F8:F9)</f>
        <v>50</v>
      </c>
      <c r="G10" s="16">
        <f>-264-SUM(G8:G9)</f>
        <v>-40</v>
      </c>
      <c r="H10" s="16">
        <f>-214-SUM(H8:H9)</f>
        <v>10</v>
      </c>
      <c r="I10" s="36">
        <f>D10+E10</f>
        <v>-168.3</v>
      </c>
      <c r="J10" s="36">
        <f>AVERAGE(I7:I10)</f>
        <v>64.575</v>
      </c>
      <c r="K10" s="16"/>
      <c r="L10" s="16">
        <f>L9-(F10+G10)</f>
        <v>313</v>
      </c>
      <c r="M10" s="16"/>
      <c r="N10" s="16">
        <f>1+N9</f>
        <v>7</v>
      </c>
    </row>
    <row r="11" ht="21.2" customHeight="1">
      <c r="B11" s="28"/>
      <c r="C11" s="15">
        <f>2564-SUM(C8:C10)</f>
        <v>983</v>
      </c>
      <c r="D11" s="16">
        <f>590.5-SUM(D8:D10)</f>
        <v>303.4</v>
      </c>
      <c r="E11" s="16">
        <f>-220.7-SUM(E8:E10)</f>
        <v>-92.5</v>
      </c>
      <c r="F11" s="16">
        <f>50-SUM(F8:F10)</f>
        <v>0</v>
      </c>
      <c r="G11" s="16">
        <f>-264-SUM(G8:G10)</f>
        <v>0</v>
      </c>
      <c r="H11" s="16">
        <f>-214-SUM(H8:H10)</f>
        <v>0</v>
      </c>
      <c r="I11" s="36">
        <f>D11+E11</f>
        <v>210.9</v>
      </c>
      <c r="J11" s="36">
        <f>AVERAGE(I8:I11)</f>
        <v>92.45</v>
      </c>
      <c r="K11" s="16"/>
      <c r="L11" s="16">
        <f>L10-(F11+G11)</f>
        <v>313</v>
      </c>
      <c r="M11" s="16"/>
      <c r="N11" s="16">
        <f>1+N10</f>
        <v>8</v>
      </c>
    </row>
    <row r="12" ht="21.2" customHeight="1">
      <c r="B12" s="29">
        <v>2018</v>
      </c>
      <c r="C12" s="15">
        <v>367</v>
      </c>
      <c r="D12" s="16">
        <v>-96.8</v>
      </c>
      <c r="E12" s="16">
        <v>-3.2</v>
      </c>
      <c r="F12" s="16">
        <v>-50</v>
      </c>
      <c r="G12" s="16">
        <v>0</v>
      </c>
      <c r="H12" s="16">
        <v>-50</v>
      </c>
      <c r="I12" s="36">
        <f>D12+E12</f>
        <v>-100</v>
      </c>
      <c r="J12" s="36">
        <f>AVERAGE(I9:I12)</f>
        <v>35</v>
      </c>
      <c r="K12" s="16"/>
      <c r="L12" s="16">
        <f>L11-(F12+G12)</f>
        <v>363</v>
      </c>
      <c r="M12" s="16"/>
      <c r="N12" s="16">
        <f>1+N11</f>
        <v>9</v>
      </c>
    </row>
    <row r="13" ht="21.2" customHeight="1">
      <c r="B13" s="28"/>
      <c r="C13" s="15">
        <f>838-C12</f>
        <v>471</v>
      </c>
      <c r="D13" s="16">
        <f>-55-D12</f>
        <v>41.8</v>
      </c>
      <c r="E13" s="16">
        <f>-9.3-E12</f>
        <v>-6.1</v>
      </c>
      <c r="F13" s="16">
        <v>0</v>
      </c>
      <c r="G13" s="16">
        <v>-300</v>
      </c>
      <c r="H13" s="16">
        <v>-300</v>
      </c>
      <c r="I13" s="36">
        <f>D13+E13</f>
        <v>35.7</v>
      </c>
      <c r="J13" s="36">
        <f>AVERAGE(I10:I13)</f>
        <v>-5.425</v>
      </c>
      <c r="K13" s="16"/>
      <c r="L13" s="16">
        <f>L12-(F13+G13)</f>
        <v>663</v>
      </c>
      <c r="M13" s="16"/>
      <c r="N13" s="16">
        <f>1+N12</f>
        <v>10</v>
      </c>
    </row>
    <row r="14" ht="21.2" customHeight="1">
      <c r="B14" s="28"/>
      <c r="C14" s="15">
        <f>1420-SUM(C12:C13)</f>
        <v>582</v>
      </c>
      <c r="D14" s="16">
        <f>-89.2-SUM(D12:D13)</f>
        <v>-34.2</v>
      </c>
      <c r="E14" s="16">
        <f>-15.3-SUM(E12:E13)</f>
        <v>-6</v>
      </c>
      <c r="F14" s="16">
        <f>-50-SUM(F12:F13)</f>
        <v>0</v>
      </c>
      <c r="G14" s="16">
        <f>-300-SUM(G12:G13)</f>
        <v>0</v>
      </c>
      <c r="H14" s="16">
        <f>-350-SUM(H12:H13)</f>
        <v>0</v>
      </c>
      <c r="I14" s="36">
        <f>D14+E14</f>
        <v>-40.2</v>
      </c>
      <c r="J14" s="36">
        <f>AVERAGE(I11:I14)</f>
        <v>26.6</v>
      </c>
      <c r="K14" s="16"/>
      <c r="L14" s="16">
        <f>L13-(F14+G14)</f>
        <v>663</v>
      </c>
      <c r="M14" s="16"/>
      <c r="N14" s="16">
        <f>1+N13</f>
        <v>11</v>
      </c>
    </row>
    <row r="15" ht="21.2" customHeight="1">
      <c r="B15" s="28"/>
      <c r="C15" s="15">
        <f>2301-SUM(C12:C14)</f>
        <v>881</v>
      </c>
      <c r="D15" s="16">
        <f>-170.9-SUM(D12:D14)</f>
        <v>-81.7</v>
      </c>
      <c r="E15" s="16">
        <f>-20.6-SUM(E12:E14)</f>
        <v>-5.3</v>
      </c>
      <c r="F15" s="16">
        <f>225-175-SUM(F12:F14)</f>
        <v>100</v>
      </c>
      <c r="G15" s="16">
        <f>-300-SUM(G12:G14)</f>
        <v>0</v>
      </c>
      <c r="H15" s="16">
        <f>-250-SUM(H12:H14)</f>
        <v>100</v>
      </c>
      <c r="I15" s="36">
        <f>D15+E15</f>
        <v>-87</v>
      </c>
      <c r="J15" s="36">
        <f>AVERAGE(I12:I15)</f>
        <v>-47.875</v>
      </c>
      <c r="K15" s="16"/>
      <c r="L15" s="16">
        <f>L14-(F15+G15)</f>
        <v>563</v>
      </c>
      <c r="M15" s="16"/>
      <c r="N15" s="16">
        <f>1+N14</f>
        <v>12</v>
      </c>
    </row>
    <row r="16" ht="21.2" customHeight="1">
      <c r="B16" s="29">
        <v>2019</v>
      </c>
      <c r="C16" s="15">
        <v>410</v>
      </c>
      <c r="D16" s="16">
        <v>-56.8</v>
      </c>
      <c r="E16" s="16">
        <v>-4.5</v>
      </c>
      <c r="F16" s="16">
        <v>45</v>
      </c>
      <c r="G16" s="16">
        <v>0</v>
      </c>
      <c r="H16" s="16">
        <v>45</v>
      </c>
      <c r="I16" s="36">
        <f>D16+E16</f>
        <v>-61.3</v>
      </c>
      <c r="J16" s="36">
        <f>AVERAGE(I13:I16)</f>
        <v>-38.2</v>
      </c>
      <c r="K16" s="16"/>
      <c r="L16" s="16">
        <f>L15-(F16+G16)</f>
        <v>518</v>
      </c>
      <c r="M16" s="16"/>
      <c r="N16" s="16">
        <f>1+N15</f>
        <v>13</v>
      </c>
    </row>
    <row r="17" ht="21.2" customHeight="1">
      <c r="B17" s="28"/>
      <c r="C17" s="15">
        <f>1014-C16</f>
        <v>604</v>
      </c>
      <c r="D17" s="16">
        <f>249-D16</f>
        <v>305.8</v>
      </c>
      <c r="E17" s="16">
        <f>-8.8-E16</f>
        <v>-4.3</v>
      </c>
      <c r="F17" s="16">
        <f>235-115-F16</f>
        <v>75</v>
      </c>
      <c r="G17" s="16">
        <v>-300</v>
      </c>
      <c r="H17" s="16">
        <f>-180-H16</f>
        <v>-225</v>
      </c>
      <c r="I17" s="36">
        <f>D17+E17</f>
        <v>301.5</v>
      </c>
      <c r="J17" s="36">
        <f>AVERAGE(I14:I17)</f>
        <v>28.25</v>
      </c>
      <c r="K17" s="16"/>
      <c r="L17" s="16">
        <f>L16-(F17+G17)</f>
        <v>743</v>
      </c>
      <c r="M17" s="16"/>
      <c r="N17" s="16">
        <f>1+N16</f>
        <v>14</v>
      </c>
    </row>
    <row r="18" ht="21.2" customHeight="1">
      <c r="B18" s="28"/>
      <c r="C18" s="15">
        <f>1567-SUM(C16:C17)</f>
        <v>553</v>
      </c>
      <c r="D18" s="16">
        <f>234.5-SUM(D16:D17)</f>
        <v>-14.5</v>
      </c>
      <c r="E18" s="16">
        <f>-12.5-SUM(E16:E17)</f>
        <v>-3.7</v>
      </c>
      <c r="F18" s="16">
        <f>80-SUM(F16:F17)</f>
        <v>-40</v>
      </c>
      <c r="G18" s="16">
        <f>-300-SUM(G16:G17)</f>
        <v>0</v>
      </c>
      <c r="H18" s="16">
        <f>-220-SUM(H16:H17)</f>
        <v>-40</v>
      </c>
      <c r="I18" s="36">
        <f>D18+E18</f>
        <v>-18.2</v>
      </c>
      <c r="J18" s="36">
        <f>AVERAGE(I15:I18)</f>
        <v>33.75</v>
      </c>
      <c r="K18" s="16"/>
      <c r="L18" s="16">
        <f>L17-(F18+G18)</f>
        <v>783</v>
      </c>
      <c r="M18" s="16"/>
      <c r="N18" s="16">
        <f>1+N17</f>
        <v>15</v>
      </c>
    </row>
    <row r="19" ht="21.2" customHeight="1">
      <c r="B19" s="28"/>
      <c r="C19" s="15">
        <f>2326-SUM(C16:C18)</f>
        <v>759</v>
      </c>
      <c r="D19" s="16">
        <f>370.4-SUM(D16:D18)</f>
        <v>135.9</v>
      </c>
      <c r="E19" s="16">
        <f>-19.4-SUM(E16:E18)</f>
        <v>-6.9</v>
      </c>
      <c r="F19" s="16">
        <f>50-SUM(F16:F18)</f>
        <v>-30</v>
      </c>
      <c r="G19" s="16">
        <f>-300-SUM(G16:G18)</f>
        <v>0</v>
      </c>
      <c r="H19" s="16">
        <f>-250-SUM(H16:H18)</f>
        <v>-30</v>
      </c>
      <c r="I19" s="36">
        <f>D19+E19</f>
        <v>129</v>
      </c>
      <c r="J19" s="36">
        <f>AVERAGE(I16:I19)</f>
        <v>87.75</v>
      </c>
      <c r="K19" s="16"/>
      <c r="L19" s="16">
        <f>L18-(F19+G19)</f>
        <v>813</v>
      </c>
      <c r="M19" s="16"/>
      <c r="N19" s="16">
        <f>1+N18</f>
        <v>16</v>
      </c>
    </row>
    <row r="20" ht="21.2" customHeight="1">
      <c r="B20" s="29">
        <v>2020</v>
      </c>
      <c r="C20" s="15">
        <v>350</v>
      </c>
      <c r="D20" s="16">
        <v>-11.2</v>
      </c>
      <c r="E20" s="16">
        <v>-8.4</v>
      </c>
      <c r="F20" s="16">
        <v>-90</v>
      </c>
      <c r="G20" s="16">
        <v>0</v>
      </c>
      <c r="H20" s="16">
        <v>-90</v>
      </c>
      <c r="I20" s="36">
        <f>D20+E20</f>
        <v>-19.6</v>
      </c>
      <c r="J20" s="36">
        <f>AVERAGE(I17:I20)</f>
        <v>98.175</v>
      </c>
      <c r="K20" s="16"/>
      <c r="L20" s="16">
        <f>L19-(F20+G20)</f>
        <v>903</v>
      </c>
      <c r="M20" s="16"/>
      <c r="N20" s="16">
        <f>1+N19</f>
        <v>17</v>
      </c>
    </row>
    <row r="21" ht="21.2" customHeight="1">
      <c r="B21" s="28"/>
      <c r="C21" s="15">
        <f>913-C20</f>
        <v>563</v>
      </c>
      <c r="D21" s="16">
        <f>173.7-D20</f>
        <v>184.9</v>
      </c>
      <c r="E21" s="16">
        <f>-18.5-E20</f>
        <v>-10.1</v>
      </c>
      <c r="F21" s="16">
        <f>-150-F20</f>
        <v>-60</v>
      </c>
      <c r="G21" s="16">
        <v>0</v>
      </c>
      <c r="H21" s="16">
        <v>-60</v>
      </c>
      <c r="I21" s="36">
        <f>D21+E21</f>
        <v>174.8</v>
      </c>
      <c r="J21" s="36">
        <f>AVERAGE(I18:I21)</f>
        <v>66.5</v>
      </c>
      <c r="K21" s="16"/>
      <c r="L21" s="16">
        <f>L20-(F21+G21)</f>
        <v>963</v>
      </c>
      <c r="M21" s="16"/>
      <c r="N21" s="16">
        <f>1+N20</f>
        <v>18</v>
      </c>
    </row>
    <row r="22" ht="21.2" customHeight="1">
      <c r="B22" s="28"/>
      <c r="C22" s="15">
        <f>1568-SUM(C20:C21)</f>
        <v>655</v>
      </c>
      <c r="D22" s="16">
        <f>466.4-SUM(D20:D21)</f>
        <v>292.7</v>
      </c>
      <c r="E22" s="16">
        <f>-29-SUM(E20:E21)</f>
        <v>-10.5</v>
      </c>
      <c r="F22" s="16">
        <f>-150-SUM(F20:F21)</f>
        <v>0</v>
      </c>
      <c r="G22" s="16">
        <f>-114-SUM(G20:G21)</f>
        <v>-114</v>
      </c>
      <c r="H22" s="16">
        <f>-264-SUM(H20:H21)</f>
        <v>-114</v>
      </c>
      <c r="I22" s="36">
        <f>D22+E22</f>
        <v>282.2</v>
      </c>
      <c r="J22" s="36">
        <f>AVERAGE(I19:I22)</f>
        <v>141.6</v>
      </c>
      <c r="K22" s="16"/>
      <c r="L22" s="16">
        <f>L21-(F22+G22)</f>
        <v>1077</v>
      </c>
      <c r="M22" s="16"/>
      <c r="N22" s="16">
        <f>1+N21</f>
        <v>19</v>
      </c>
    </row>
    <row r="23" ht="21.2" customHeight="1">
      <c r="B23" s="28"/>
      <c r="C23" s="37">
        <f>2179-SUM(C20:C22)</f>
        <v>611</v>
      </c>
      <c r="D23" s="36">
        <f>714.4-SUM(D20:D22)</f>
        <v>248</v>
      </c>
      <c r="E23" s="36">
        <f>-42.5-SUM(E20:E22)</f>
        <v>-13.5</v>
      </c>
      <c r="F23" s="36">
        <f>-150-SUM(F20:F22)</f>
        <v>0</v>
      </c>
      <c r="G23" s="36">
        <f>-114-SUM(G20:G22)</f>
        <v>0</v>
      </c>
      <c r="H23" s="36">
        <f>-265-SUM(H20:H22)</f>
        <v>-1</v>
      </c>
      <c r="I23" s="36">
        <f>D23+E23</f>
        <v>234.5</v>
      </c>
      <c r="J23" s="36">
        <f>AVERAGE(I20:I23)</f>
        <v>167.975</v>
      </c>
      <c r="K23" s="16"/>
      <c r="L23" s="16">
        <f>L22-(F23+G23)</f>
        <v>1077</v>
      </c>
      <c r="M23" s="16"/>
      <c r="N23" s="16">
        <f>1+N22</f>
        <v>20</v>
      </c>
    </row>
    <row r="24" ht="21.2" customHeight="1">
      <c r="B24" s="29">
        <v>2021</v>
      </c>
      <c r="C24" s="37">
        <v>488</v>
      </c>
      <c r="D24" s="36">
        <v>181.7</v>
      </c>
      <c r="E24" s="36">
        <v>-14.1</v>
      </c>
      <c r="F24" s="36">
        <v>0</v>
      </c>
      <c r="G24" s="36">
        <v>0</v>
      </c>
      <c r="H24" s="36">
        <v>0</v>
      </c>
      <c r="I24" s="36">
        <f>D24+E24</f>
        <v>167.6</v>
      </c>
      <c r="J24" s="36">
        <f>AVERAGE(I21:I24)</f>
        <v>214.775</v>
      </c>
      <c r="K24" s="16"/>
      <c r="L24" s="16">
        <f>L23-(F24+G24)</f>
        <v>1077</v>
      </c>
      <c r="M24" s="16"/>
      <c r="N24" s="16">
        <f>1+N23</f>
        <v>21</v>
      </c>
    </row>
    <row r="25" ht="21.2" customHeight="1">
      <c r="B25" s="28"/>
      <c r="C25" s="37">
        <f>998-C24</f>
        <v>510</v>
      </c>
      <c r="D25" s="36">
        <f>286-D24</f>
        <v>104.3</v>
      </c>
      <c r="E25" s="36">
        <f>-24.8-E24</f>
        <v>-10.7</v>
      </c>
      <c r="F25" s="36">
        <v>0</v>
      </c>
      <c r="G25" s="36">
        <v>0</v>
      </c>
      <c r="H25" s="36">
        <v>0</v>
      </c>
      <c r="I25" s="36">
        <f>D25+E25</f>
        <v>93.59999999999999</v>
      </c>
      <c r="J25" s="36">
        <f>AVERAGE(I22:I25)</f>
        <v>194.475</v>
      </c>
      <c r="K25" s="16"/>
      <c r="L25" s="16">
        <f>L24-(F25+G25)</f>
        <v>1077</v>
      </c>
      <c r="M25" s="16"/>
      <c r="N25" s="16">
        <f>1+N24</f>
        <v>22</v>
      </c>
    </row>
    <row r="26" ht="21.2" customHeight="1">
      <c r="B26" s="28"/>
      <c r="C26" s="37">
        <f>1590-SUM(C24:C25)</f>
        <v>592</v>
      </c>
      <c r="D26" s="36">
        <f>483.7-SUM(D24:D25)</f>
        <v>197.7</v>
      </c>
      <c r="E26" s="36">
        <f>-33.3-SUM(E24:E25)</f>
        <v>-8.5</v>
      </c>
      <c r="F26" s="36">
        <f>0-SUM(F24:F25)</f>
        <v>0</v>
      </c>
      <c r="G26" s="36">
        <f>-114-SUM(G24:G25)</f>
        <v>-114</v>
      </c>
      <c r="H26" s="36">
        <f>-114-SUM(H24:H25)</f>
        <v>-114</v>
      </c>
      <c r="I26" s="36">
        <f>D26+E26</f>
        <v>189.2</v>
      </c>
      <c r="J26" s="36">
        <f>AVERAGE(I23:I26)</f>
        <v>171.225</v>
      </c>
      <c r="K26" s="16"/>
      <c r="L26" s="16">
        <f>L25-(F26+G26)</f>
        <v>1191</v>
      </c>
      <c r="M26" s="16"/>
      <c r="N26" s="16">
        <f>1+N25</f>
        <v>23</v>
      </c>
    </row>
    <row r="27" ht="21.2" customHeight="1">
      <c r="B27" s="28"/>
      <c r="C27" s="37">
        <f>2129-SUM(C24:C26)</f>
        <v>539</v>
      </c>
      <c r="D27" s="36">
        <f>652.5-SUM(D24:D26)</f>
        <v>168.8</v>
      </c>
      <c r="E27" s="36">
        <f>-44.6-SUM(E24:E26)</f>
        <v>-11.3</v>
      </c>
      <c r="F27" s="36">
        <f>0-SUM(F24:F26)</f>
        <v>0</v>
      </c>
      <c r="G27" s="36">
        <f>-114-SUM(G24:G26)</f>
        <v>0</v>
      </c>
      <c r="H27" s="36">
        <f>-115-SUM(H24:H26)</f>
        <v>-1</v>
      </c>
      <c r="I27" s="36">
        <f>D27+E27</f>
        <v>157.5</v>
      </c>
      <c r="J27" s="36">
        <f>AVERAGE(I24:I27)</f>
        <v>151.975</v>
      </c>
      <c r="K27" s="16"/>
      <c r="L27" s="16">
        <f>L26-(F27+G27)</f>
        <v>1191</v>
      </c>
      <c r="M27" s="16"/>
      <c r="N27" s="16">
        <f>1+N26</f>
        <v>24</v>
      </c>
    </row>
    <row r="28" ht="21.2" customHeight="1">
      <c r="B28" s="29">
        <v>2022</v>
      </c>
      <c r="C28" s="37">
        <v>640</v>
      </c>
      <c r="D28" s="36">
        <v>212.9</v>
      </c>
      <c r="E28" s="36">
        <v>-4.4</v>
      </c>
      <c r="F28" s="36">
        <v>0</v>
      </c>
      <c r="G28" s="36">
        <v>0</v>
      </c>
      <c r="H28" s="36">
        <v>0</v>
      </c>
      <c r="I28" s="36">
        <f>D28+E28</f>
        <v>208.5</v>
      </c>
      <c r="J28" s="36">
        <f>AVERAGE(I25:I28)</f>
        <v>162.2</v>
      </c>
      <c r="K28" s="16">
        <v>202.079783125</v>
      </c>
      <c r="L28" s="16">
        <f>L27-(F28+G28)</f>
        <v>1191</v>
      </c>
      <c r="M28" s="16">
        <v>1488.5307661875</v>
      </c>
      <c r="N28" s="16">
        <f>1+N27</f>
        <v>25</v>
      </c>
    </row>
    <row r="29" ht="21.2" customHeight="1">
      <c r="B29" s="28"/>
      <c r="C29" s="37"/>
      <c r="D29" s="36"/>
      <c r="E29" s="36"/>
      <c r="F29" s="36"/>
      <c r="G29" s="36"/>
      <c r="H29" s="36"/>
      <c r="I29" s="36"/>
      <c r="J29" s="19"/>
      <c r="K29" s="36">
        <f>SUM('Model'!F9:F10)</f>
        <v>196.693354</v>
      </c>
      <c r="L29" s="19"/>
      <c r="M29" s="16">
        <f>'Model'!F33</f>
        <v>1931.704204</v>
      </c>
      <c r="N29" s="16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8" customWidth="1"/>
    <col min="2" max="11" width="9.21875" style="38" customWidth="1"/>
    <col min="12" max="16384" width="16.3516" style="38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47</v>
      </c>
      <c r="D3" t="s" s="5">
        <v>48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49</v>
      </c>
      <c r="J3" t="s" s="5">
        <v>26</v>
      </c>
      <c r="K3" t="s" s="5">
        <v>34</v>
      </c>
    </row>
    <row r="4" ht="20.25" customHeight="1">
      <c r="B4" s="23">
        <v>2016</v>
      </c>
      <c r="C4" s="34">
        <v>266</v>
      </c>
      <c r="D4" s="26">
        <v>2178</v>
      </c>
      <c r="E4" s="26">
        <f>D4-C4</f>
        <v>1912</v>
      </c>
      <c r="F4" s="26"/>
      <c r="G4" s="26">
        <v>297</v>
      </c>
      <c r="H4" s="26">
        <f>D4-G4</f>
        <v>1881</v>
      </c>
      <c r="I4" s="26">
        <f>G4+H4-C4-E4</f>
        <v>0</v>
      </c>
      <c r="J4" s="26">
        <f>C4-G4</f>
        <v>-31</v>
      </c>
      <c r="K4" s="26"/>
    </row>
    <row r="5" ht="20.05" customHeight="1">
      <c r="B5" s="28"/>
      <c r="C5" s="15">
        <v>244</v>
      </c>
      <c r="D5" s="16">
        <v>2136</v>
      </c>
      <c r="E5" s="16">
        <f>D5-C5</f>
        <v>1892</v>
      </c>
      <c r="F5" s="16"/>
      <c r="G5" s="16">
        <v>281</v>
      </c>
      <c r="H5" s="16">
        <f>D5-G5</f>
        <v>1855</v>
      </c>
      <c r="I5" s="16">
        <f>G5+H5-C5-E5</f>
        <v>0</v>
      </c>
      <c r="J5" s="16">
        <f>C5-G5</f>
        <v>-37</v>
      </c>
      <c r="K5" s="16"/>
    </row>
    <row r="6" ht="20.05" customHeight="1">
      <c r="B6" s="28"/>
      <c r="C6" s="15">
        <v>278</v>
      </c>
      <c r="D6" s="16">
        <v>2278</v>
      </c>
      <c r="E6" s="16">
        <f>D6-C6</f>
        <v>2000</v>
      </c>
      <c r="F6" s="16"/>
      <c r="G6" s="16">
        <v>277</v>
      </c>
      <c r="H6" s="16">
        <f>D6-G6</f>
        <v>2001</v>
      </c>
      <c r="I6" s="16">
        <f>G6+H6-C6-E6</f>
        <v>0</v>
      </c>
      <c r="J6" s="16">
        <f>C6-G6</f>
        <v>1</v>
      </c>
      <c r="K6" s="16"/>
    </row>
    <row r="7" ht="20.05" customHeight="1">
      <c r="B7" s="28"/>
      <c r="C7" s="15">
        <v>380</v>
      </c>
      <c r="D7" s="16">
        <v>2416</v>
      </c>
      <c r="E7" s="16">
        <f>D7-C7</f>
        <v>2036</v>
      </c>
      <c r="F7" s="16"/>
      <c r="G7" s="16">
        <v>353</v>
      </c>
      <c r="H7" s="16">
        <f>D7-G7</f>
        <v>2063</v>
      </c>
      <c r="I7" s="16">
        <f>G7+H7-C7-E7</f>
        <v>0</v>
      </c>
      <c r="J7" s="16">
        <f>C7-G7</f>
        <v>27</v>
      </c>
      <c r="K7" s="16"/>
    </row>
    <row r="8" ht="20.05" customHeight="1">
      <c r="B8" s="29">
        <v>2017</v>
      </c>
      <c r="C8" s="15">
        <v>509</v>
      </c>
      <c r="D8" s="16">
        <v>2474</v>
      </c>
      <c r="E8" s="16">
        <f>D8-C8</f>
        <v>1965</v>
      </c>
      <c r="F8" s="16"/>
      <c r="G8" s="16">
        <v>334</v>
      </c>
      <c r="H8" s="16">
        <f>D8-G8</f>
        <v>2140</v>
      </c>
      <c r="I8" s="16">
        <f>G8+H8-C8-E8</f>
        <v>0</v>
      </c>
      <c r="J8" s="16">
        <f>C8-G8</f>
        <v>175</v>
      </c>
      <c r="K8" s="16"/>
    </row>
    <row r="9" ht="20.05" customHeight="1">
      <c r="B9" s="28"/>
      <c r="C9" s="15">
        <v>443</v>
      </c>
      <c r="D9" s="16">
        <v>2217</v>
      </c>
      <c r="E9" s="16">
        <f>D9-C9</f>
        <v>1774</v>
      </c>
      <c r="F9" s="16"/>
      <c r="G9" s="16">
        <v>329</v>
      </c>
      <c r="H9" s="16">
        <f>D9-G9</f>
        <v>1888</v>
      </c>
      <c r="I9" s="16">
        <f>G9+H9-C9-E9</f>
        <v>0</v>
      </c>
      <c r="J9" s="16">
        <f>C9-G9</f>
        <v>114</v>
      </c>
      <c r="K9" s="16"/>
    </row>
    <row r="10" ht="20.05" customHeight="1">
      <c r="B10" s="28"/>
      <c r="C10" s="15">
        <v>325</v>
      </c>
      <c r="D10" s="16">
        <v>2355</v>
      </c>
      <c r="E10" s="16">
        <f>D10-C10</f>
        <v>2030</v>
      </c>
      <c r="F10" s="16"/>
      <c r="G10" s="16">
        <v>335</v>
      </c>
      <c r="H10" s="16">
        <f>D10-G10</f>
        <v>2020</v>
      </c>
      <c r="I10" s="16">
        <f>G10+H10-C10-E10</f>
        <v>0</v>
      </c>
      <c r="J10" s="16">
        <f>C10-G10</f>
        <v>-10</v>
      </c>
      <c r="K10" s="16"/>
    </row>
    <row r="11" ht="20.05" customHeight="1">
      <c r="B11" s="28"/>
      <c r="C11" s="15">
        <v>536</v>
      </c>
      <c r="D11" s="16">
        <v>2622</v>
      </c>
      <c r="E11" s="16">
        <f>D11-C11</f>
        <v>2086</v>
      </c>
      <c r="F11" s="16"/>
      <c r="G11" s="16">
        <v>422</v>
      </c>
      <c r="H11" s="16">
        <f>D11-G11</f>
        <v>2200</v>
      </c>
      <c r="I11" s="16">
        <f>G11+H11-C11-E11</f>
        <v>0</v>
      </c>
      <c r="J11" s="16">
        <f>C11-G11</f>
        <v>114</v>
      </c>
      <c r="K11" s="16"/>
    </row>
    <row r="12" ht="20.05" customHeight="1">
      <c r="B12" s="29">
        <v>2018</v>
      </c>
      <c r="C12" s="15">
        <v>387</v>
      </c>
      <c r="D12" s="16">
        <v>2584</v>
      </c>
      <c r="E12" s="16">
        <f>D12-C12</f>
        <v>2197</v>
      </c>
      <c r="F12" s="16"/>
      <c r="G12" s="16">
        <v>351</v>
      </c>
      <c r="H12" s="16">
        <f>D12-G12</f>
        <v>2233</v>
      </c>
      <c r="I12" s="16">
        <f>G12+H12-C12-E12</f>
        <v>0</v>
      </c>
      <c r="J12" s="16">
        <f>C12-G12</f>
        <v>36</v>
      </c>
      <c r="K12" s="16"/>
    </row>
    <row r="13" ht="20.05" customHeight="1">
      <c r="B13" s="28"/>
      <c r="C13" s="15">
        <v>122</v>
      </c>
      <c r="D13" s="16">
        <v>2185</v>
      </c>
      <c r="E13" s="16">
        <f>D13-C13</f>
        <v>2063</v>
      </c>
      <c r="F13" s="16"/>
      <c r="G13" s="16">
        <v>276</v>
      </c>
      <c r="H13" s="16">
        <f>D13-G13</f>
        <v>1909</v>
      </c>
      <c r="I13" s="16">
        <f>G13+H13-C13-E13</f>
        <v>0</v>
      </c>
      <c r="J13" s="16">
        <f>C13-G13</f>
        <v>-154</v>
      </c>
      <c r="K13" s="16"/>
    </row>
    <row r="14" ht="20.05" customHeight="1">
      <c r="B14" s="28"/>
      <c r="C14" s="15">
        <v>81.40000000000001</v>
      </c>
      <c r="D14" s="16">
        <v>2451</v>
      </c>
      <c r="E14" s="16">
        <f>D14-C14</f>
        <v>2369.6</v>
      </c>
      <c r="F14" s="16"/>
      <c r="G14" s="16">
        <v>316.6</v>
      </c>
      <c r="H14" s="16">
        <f>D14-G14</f>
        <v>2134.4</v>
      </c>
      <c r="I14" s="16">
        <f>G14+H14-C14-E14</f>
        <v>0</v>
      </c>
      <c r="J14" s="16">
        <f>C14-G14</f>
        <v>-235.2</v>
      </c>
      <c r="K14" s="16"/>
    </row>
    <row r="15" ht="20.05" customHeight="1">
      <c r="B15" s="28"/>
      <c r="C15" s="15">
        <v>95</v>
      </c>
      <c r="D15" s="16">
        <v>2765</v>
      </c>
      <c r="E15" s="16">
        <f>D15-C15</f>
        <v>2670</v>
      </c>
      <c r="F15" s="16"/>
      <c r="G15" s="16">
        <v>455</v>
      </c>
      <c r="H15" s="16">
        <f>D15-G15</f>
        <v>2310</v>
      </c>
      <c r="I15" s="16">
        <f>G15+H15-C15-E15</f>
        <v>0</v>
      </c>
      <c r="J15" s="16">
        <f>C15-G15</f>
        <v>-360</v>
      </c>
      <c r="K15" s="16"/>
    </row>
    <row r="16" ht="20.05" customHeight="1">
      <c r="B16" s="29">
        <v>2019</v>
      </c>
      <c r="C16" s="15">
        <v>78</v>
      </c>
      <c r="D16" s="16">
        <v>2853.5</v>
      </c>
      <c r="E16" s="16">
        <f>D16-C16</f>
        <v>2775.5</v>
      </c>
      <c r="F16" s="16"/>
      <c r="G16" s="16">
        <v>468</v>
      </c>
      <c r="H16" s="16">
        <f>D16-G16</f>
        <v>2385.5</v>
      </c>
      <c r="I16" s="16">
        <f>G16+H16-C16-E16</f>
        <v>0</v>
      </c>
      <c r="J16" s="16">
        <f>C16-G16</f>
        <v>-390</v>
      </c>
      <c r="K16" s="16"/>
    </row>
    <row r="17" ht="20.05" customHeight="1">
      <c r="B17" s="28"/>
      <c r="C17" s="15">
        <v>154</v>
      </c>
      <c r="D17" s="16">
        <v>2674</v>
      </c>
      <c r="E17" s="16">
        <f>D17-C17</f>
        <v>2520</v>
      </c>
      <c r="F17" s="16"/>
      <c r="G17" s="16">
        <v>576</v>
      </c>
      <c r="H17" s="16">
        <f>D17-G17</f>
        <v>2098</v>
      </c>
      <c r="I17" s="16">
        <f>G17+H17-C17-E17</f>
        <v>0</v>
      </c>
      <c r="J17" s="16">
        <f>C17-G17</f>
        <v>-422</v>
      </c>
      <c r="K17" s="16"/>
    </row>
    <row r="18" ht="20.05" customHeight="1">
      <c r="B18" s="28"/>
      <c r="C18" s="15">
        <v>96</v>
      </c>
      <c r="D18" s="16">
        <v>2694</v>
      </c>
      <c r="E18" s="16">
        <f>D18-C18</f>
        <v>2598</v>
      </c>
      <c r="F18" s="16"/>
      <c r="G18" s="16">
        <v>543</v>
      </c>
      <c r="H18" s="16">
        <f>D18-G18</f>
        <v>2151</v>
      </c>
      <c r="I18" s="16">
        <f>G18+H18-C18-E18</f>
        <v>0</v>
      </c>
      <c r="J18" s="16">
        <f>C18-G18</f>
        <v>-447</v>
      </c>
      <c r="K18" s="16"/>
    </row>
    <row r="19" ht="20.05" customHeight="1">
      <c r="B19" s="28"/>
      <c r="C19" s="15">
        <v>195</v>
      </c>
      <c r="D19" s="16">
        <v>2941</v>
      </c>
      <c r="E19" s="16">
        <f>D19-C19</f>
        <v>2746</v>
      </c>
      <c r="F19" s="16"/>
      <c r="G19" s="16">
        <v>624.5</v>
      </c>
      <c r="H19" s="16">
        <f>D19-G19</f>
        <v>2316.5</v>
      </c>
      <c r="I19" s="16">
        <f>G19+H19-C19-E19</f>
        <v>0</v>
      </c>
      <c r="J19" s="16">
        <f>C19-G19</f>
        <v>-429.5</v>
      </c>
      <c r="K19" s="16"/>
    </row>
    <row r="20" ht="20.05" customHeight="1">
      <c r="B20" s="29">
        <v>2020</v>
      </c>
      <c r="C20" s="15">
        <v>91</v>
      </c>
      <c r="D20" s="16">
        <v>2889</v>
      </c>
      <c r="E20" s="16">
        <f>D20-C20</f>
        <v>2798</v>
      </c>
      <c r="F20" s="16"/>
      <c r="G20" s="16">
        <v>548</v>
      </c>
      <c r="H20" s="16">
        <f>D20-G20</f>
        <v>2341</v>
      </c>
      <c r="I20" s="16">
        <f>G20+H20-C20-E20</f>
        <v>0</v>
      </c>
      <c r="J20" s="16">
        <f>C20-G20</f>
        <v>-457</v>
      </c>
      <c r="K20" s="16"/>
    </row>
    <row r="21" ht="20.05" customHeight="1">
      <c r="B21" s="28"/>
      <c r="C21" s="15">
        <v>201</v>
      </c>
      <c r="D21" s="16">
        <v>2801</v>
      </c>
      <c r="E21" s="16">
        <f>D21-C21</f>
        <v>2600</v>
      </c>
      <c r="F21" s="16"/>
      <c r="G21" s="16">
        <v>389</v>
      </c>
      <c r="H21" s="16">
        <f>D21-G21</f>
        <v>2412</v>
      </c>
      <c r="I21" s="16">
        <f>G21+H21-C21-E21</f>
        <v>0</v>
      </c>
      <c r="J21" s="16">
        <f>C21-G21</f>
        <v>-188</v>
      </c>
      <c r="K21" s="16"/>
    </row>
    <row r="22" ht="20.05" customHeight="1">
      <c r="B22" s="28"/>
      <c r="C22" s="15">
        <v>369</v>
      </c>
      <c r="D22" s="16">
        <v>2806</v>
      </c>
      <c r="E22" s="16">
        <f>D22-C22</f>
        <v>2437</v>
      </c>
      <c r="F22" s="16"/>
      <c r="G22" s="16">
        <v>448</v>
      </c>
      <c r="H22" s="16">
        <f>D22-G22</f>
        <v>2358</v>
      </c>
      <c r="I22" s="16">
        <f>G22+H22-C22-E22</f>
        <v>0</v>
      </c>
      <c r="J22" s="16">
        <f>C22-G22</f>
        <v>-79</v>
      </c>
      <c r="K22" s="16"/>
    </row>
    <row r="23" ht="20.05" customHeight="1">
      <c r="B23" s="28"/>
      <c r="C23" s="15">
        <v>602</v>
      </c>
      <c r="D23" s="16">
        <v>2915</v>
      </c>
      <c r="E23" s="16">
        <f>D23-C23</f>
        <v>2313</v>
      </c>
      <c r="F23" s="16"/>
      <c r="G23" s="16">
        <v>457</v>
      </c>
      <c r="H23" s="16">
        <f>D23-G23</f>
        <v>2458</v>
      </c>
      <c r="I23" s="16">
        <f>G23+H23-C23-E23</f>
        <v>0</v>
      </c>
      <c r="J23" s="16">
        <f>C23-G23</f>
        <v>145</v>
      </c>
      <c r="K23" s="16"/>
    </row>
    <row r="24" ht="20.05" customHeight="1">
      <c r="B24" s="29">
        <v>2021</v>
      </c>
      <c r="C24" s="15">
        <v>770</v>
      </c>
      <c r="D24" s="16">
        <v>3070</v>
      </c>
      <c r="E24" s="16">
        <f>D24-C24</f>
        <v>2300</v>
      </c>
      <c r="F24" s="16"/>
      <c r="G24" s="16">
        <v>532</v>
      </c>
      <c r="H24" s="16">
        <f>D24-G24</f>
        <v>2538</v>
      </c>
      <c r="I24" s="16">
        <f>G24+H24-C24-E24</f>
        <v>0</v>
      </c>
      <c r="J24" s="16">
        <f>C24-G24</f>
        <v>238</v>
      </c>
      <c r="K24" s="16"/>
    </row>
    <row r="25" ht="20.05" customHeight="1">
      <c r="B25" s="28"/>
      <c r="C25" s="15">
        <v>864</v>
      </c>
      <c r="D25" s="16">
        <v>3012</v>
      </c>
      <c r="E25" s="16">
        <f>D25-C25</f>
        <v>2148</v>
      </c>
      <c r="F25" s="16"/>
      <c r="G25" s="16">
        <v>408</v>
      </c>
      <c r="H25" s="16">
        <f>D25-G25</f>
        <v>2604</v>
      </c>
      <c r="I25" s="16">
        <f>G25+H25-C25-E25</f>
        <v>0</v>
      </c>
      <c r="J25" s="16">
        <f>C25-G25</f>
        <v>456</v>
      </c>
      <c r="K25" s="16"/>
    </row>
    <row r="26" ht="20.05" customHeight="1">
      <c r="B26" s="28"/>
      <c r="C26" s="15">
        <v>939</v>
      </c>
      <c r="D26" s="16">
        <v>3114</v>
      </c>
      <c r="E26" s="16">
        <f>D26-C26</f>
        <v>2175</v>
      </c>
      <c r="F26" s="16"/>
      <c r="G26" s="16">
        <v>545</v>
      </c>
      <c r="H26" s="16">
        <f>D26-G26</f>
        <v>2569</v>
      </c>
      <c r="I26" s="16">
        <f>G26+H26-C26-E26</f>
        <v>0</v>
      </c>
      <c r="J26" s="16">
        <f>C26-G26</f>
        <v>394</v>
      </c>
      <c r="K26" s="16"/>
    </row>
    <row r="27" ht="20.05" customHeight="1">
      <c r="B27" s="28"/>
      <c r="C27" s="15">
        <v>1095</v>
      </c>
      <c r="D27" s="16">
        <v>3132</v>
      </c>
      <c r="E27" s="16">
        <f>D27-C27</f>
        <v>2037</v>
      </c>
      <c r="F27" s="16"/>
      <c r="G27" s="16">
        <v>404</v>
      </c>
      <c r="H27" s="16">
        <f>D27-G27</f>
        <v>2728</v>
      </c>
      <c r="I27" s="16">
        <f>G27+H27-C27-E27</f>
        <v>0</v>
      </c>
      <c r="J27" s="16">
        <f>C27-G27</f>
        <v>691</v>
      </c>
      <c r="K27" s="16"/>
    </row>
    <row r="28" ht="20.05" customHeight="1">
      <c r="B28" s="29">
        <v>2022</v>
      </c>
      <c r="C28" s="15">
        <v>1304</v>
      </c>
      <c r="D28" s="16">
        <v>3310</v>
      </c>
      <c r="E28" s="16">
        <f>D28-C28</f>
        <v>2006</v>
      </c>
      <c r="F28" s="16"/>
      <c r="G28" s="16">
        <v>428</v>
      </c>
      <c r="H28" s="16">
        <f>D28-G28</f>
        <v>2882</v>
      </c>
      <c r="I28" s="16">
        <f>G28+H28-C28-E28</f>
        <v>0</v>
      </c>
      <c r="J28" s="16">
        <f>C28-G28</f>
        <v>876</v>
      </c>
      <c r="K28" s="16">
        <v>1409.3920294375</v>
      </c>
    </row>
    <row r="29" ht="20.05" customHeight="1">
      <c r="B29" s="28"/>
      <c r="C29" s="15"/>
      <c r="D29" s="16"/>
      <c r="E29" s="16"/>
      <c r="F29" s="16"/>
      <c r="G29" s="16"/>
      <c r="H29" s="16"/>
      <c r="I29" s="16"/>
      <c r="J29" s="16"/>
      <c r="K29" s="16">
        <f>'Model'!F31</f>
        <v>900.4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9" customWidth="1"/>
    <col min="2" max="4" width="9.9375" style="39" customWidth="1"/>
    <col min="5" max="16384" width="16.3516" style="39" customWidth="1"/>
  </cols>
  <sheetData>
    <row r="1" ht="30.75" customHeight="1"/>
    <row r="2" ht="27.65" customHeight="1">
      <c r="B2" t="s" s="2">
        <v>50</v>
      </c>
      <c r="C2" s="2"/>
      <c r="D2" s="2"/>
    </row>
    <row r="3" ht="20.25" customHeight="1">
      <c r="B3" s="4"/>
      <c r="C3" t="s" s="40">
        <v>51</v>
      </c>
      <c r="D3" t="s" s="40">
        <v>52</v>
      </c>
    </row>
    <row r="4" ht="20.25" customHeight="1">
      <c r="B4" s="23">
        <v>2018</v>
      </c>
      <c r="C4" s="41">
        <v>1975</v>
      </c>
      <c r="D4" s="42"/>
    </row>
    <row r="5" ht="20.05" customHeight="1">
      <c r="B5" s="28"/>
      <c r="C5" s="43">
        <v>1725</v>
      </c>
      <c r="D5" s="44"/>
    </row>
    <row r="6" ht="20.05" customHeight="1">
      <c r="B6" s="28"/>
      <c r="C6" s="43">
        <v>1700</v>
      </c>
      <c r="D6" s="44"/>
    </row>
    <row r="7" ht="20.05" customHeight="1">
      <c r="B7" s="28"/>
      <c r="C7" s="43">
        <v>1675</v>
      </c>
      <c r="D7" s="44"/>
    </row>
    <row r="8" ht="20.05" customHeight="1">
      <c r="B8" s="29">
        <v>2019</v>
      </c>
      <c r="C8" s="43">
        <v>1435</v>
      </c>
      <c r="D8" s="44"/>
    </row>
    <row r="9" ht="20.05" customHeight="1">
      <c r="B9" s="28"/>
      <c r="C9" s="43">
        <v>1475</v>
      </c>
      <c r="D9" s="44"/>
    </row>
    <row r="10" ht="20.05" customHeight="1">
      <c r="B10" s="28"/>
      <c r="C10" s="43">
        <v>1440</v>
      </c>
      <c r="D10" s="44"/>
    </row>
    <row r="11" ht="20.05" customHeight="1">
      <c r="B11" s="28"/>
      <c r="C11" s="43">
        <v>1050</v>
      </c>
      <c r="D11" s="44"/>
    </row>
    <row r="12" ht="20.05" customHeight="1">
      <c r="B12" s="29">
        <v>2020</v>
      </c>
      <c r="C12" s="43">
        <v>620</v>
      </c>
      <c r="D12" s="44"/>
    </row>
    <row r="13" ht="20.05" customHeight="1">
      <c r="B13" s="28"/>
      <c r="C13" s="43">
        <v>825</v>
      </c>
      <c r="D13" s="44"/>
    </row>
    <row r="14" ht="20.05" customHeight="1">
      <c r="B14" s="28"/>
      <c r="C14" s="43">
        <v>950</v>
      </c>
      <c r="D14" s="44"/>
    </row>
    <row r="15" ht="20.05" customHeight="1">
      <c r="B15" s="28"/>
      <c r="C15" s="43">
        <v>1030</v>
      </c>
      <c r="D15" s="44"/>
    </row>
    <row r="16" ht="20.05" customHeight="1">
      <c r="B16" s="29">
        <v>2021</v>
      </c>
      <c r="C16" s="15">
        <v>1130</v>
      </c>
      <c r="D16" s="44"/>
    </row>
    <row r="17" ht="20.05" customHeight="1">
      <c r="B17" s="28"/>
      <c r="C17" s="15">
        <v>1125</v>
      </c>
      <c r="D17" s="44"/>
    </row>
    <row r="18" ht="20.05" customHeight="1">
      <c r="B18" s="28"/>
      <c r="C18" s="15">
        <v>1015</v>
      </c>
      <c r="D18" s="44"/>
    </row>
    <row r="19" ht="20.05" customHeight="1">
      <c r="B19" s="28"/>
      <c r="C19" s="15">
        <v>995</v>
      </c>
      <c r="D19" s="44"/>
    </row>
    <row r="20" ht="20.05" customHeight="1">
      <c r="B20" s="29">
        <v>2022</v>
      </c>
      <c r="C20" s="15">
        <v>1330</v>
      </c>
      <c r="D20" s="44"/>
    </row>
    <row r="21" ht="20.05" customHeight="1">
      <c r="B21" s="28"/>
      <c r="C21" s="15">
        <v>1890</v>
      </c>
      <c r="D21" s="16">
        <v>2505.104843721020</v>
      </c>
    </row>
    <row r="22" ht="20.05" customHeight="1">
      <c r="B22" s="28"/>
      <c r="C22" s="15"/>
      <c r="D22" s="44">
        <f>'Model'!F44</f>
        <v>2962.816746974210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T3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5859" style="45" customWidth="1"/>
    <col min="9" max="20" width="11.375" style="47" customWidth="1"/>
    <col min="21" max="16384" width="16.3516" style="47" customWidth="1"/>
  </cols>
  <sheetData>
    <row r="1" ht="27.65" customHeight="1">
      <c r="A1" t="s" s="2">
        <v>53</v>
      </c>
      <c r="B1" s="2"/>
      <c r="C1" s="2"/>
      <c r="D1" s="2"/>
      <c r="E1" s="2"/>
      <c r="F1" s="2"/>
      <c r="G1" s="2"/>
      <c r="H1" s="2"/>
    </row>
    <row r="2" ht="20.25" customHeight="1">
      <c r="A2" t="s" s="5">
        <v>54</v>
      </c>
      <c r="B2" t="s" s="5">
        <v>11</v>
      </c>
      <c r="C2" t="s" s="5">
        <v>14</v>
      </c>
      <c r="D2" t="s" s="5">
        <v>55</v>
      </c>
      <c r="E2" t="s" s="5">
        <v>11</v>
      </c>
      <c r="F2" t="s" s="5">
        <v>14</v>
      </c>
      <c r="G2" t="s" s="5">
        <v>55</v>
      </c>
      <c r="H2" s="4"/>
    </row>
    <row r="3" ht="20.25" customHeight="1">
      <c r="A3" s="23">
        <v>2010</v>
      </c>
      <c r="B3" s="34">
        <f>146-298</f>
        <v>-152</v>
      </c>
      <c r="C3" s="26">
        <v>0</v>
      </c>
      <c r="D3" s="26">
        <f>B3+C3</f>
        <v>-152</v>
      </c>
      <c r="E3" s="26">
        <f>B3</f>
        <v>-152</v>
      </c>
      <c r="F3" s="26">
        <f>C3</f>
        <v>0</v>
      </c>
      <c r="G3" s="26">
        <f>D3</f>
        <v>-152</v>
      </c>
      <c r="H3" s="8"/>
    </row>
    <row r="4" ht="20.05" customHeight="1">
      <c r="A4" s="29">
        <v>2011</v>
      </c>
      <c r="B4" s="15">
        <f>82-33</f>
        <v>49</v>
      </c>
      <c r="C4" s="16">
        <v>-30</v>
      </c>
      <c r="D4" s="16">
        <f>B4+C4</f>
        <v>19</v>
      </c>
      <c r="E4" s="16">
        <f>B4+E3</f>
        <v>-103</v>
      </c>
      <c r="F4" s="16">
        <f>C4+F3</f>
        <v>-30</v>
      </c>
      <c r="G4" s="16">
        <f>D4+G3</f>
        <v>-133</v>
      </c>
      <c r="H4" s="19"/>
    </row>
    <row r="5" ht="20.05" customHeight="1">
      <c r="A5" s="29">
        <f>$A4+1</f>
        <v>2012</v>
      </c>
      <c r="B5" s="15">
        <v>-1</v>
      </c>
      <c r="C5" s="16">
        <v>-30</v>
      </c>
      <c r="D5" s="16">
        <f>B5+C5</f>
        <v>-31</v>
      </c>
      <c r="E5" s="16">
        <f>B5+E4</f>
        <v>-104</v>
      </c>
      <c r="F5" s="16">
        <f>C5+F4</f>
        <v>-60</v>
      </c>
      <c r="G5" s="16">
        <f>D5+G4</f>
        <v>-164</v>
      </c>
      <c r="H5" s="19"/>
    </row>
    <row r="6" ht="20.05" customHeight="1">
      <c r="A6" s="29">
        <f>$A5+1</f>
        <v>2013</v>
      </c>
      <c r="B6" s="15">
        <f>87-137</f>
        <v>-50</v>
      </c>
      <c r="C6" s="16">
        <v>-30</v>
      </c>
      <c r="D6" s="16">
        <f>B6+C6</f>
        <v>-80</v>
      </c>
      <c r="E6" s="16">
        <f>B6+E5</f>
        <v>-154</v>
      </c>
      <c r="F6" s="16">
        <f>C6+F5</f>
        <v>-90</v>
      </c>
      <c r="G6" s="16">
        <f>D6+G5</f>
        <v>-244</v>
      </c>
      <c r="H6" s="19"/>
    </row>
    <row r="7" ht="20.05" customHeight="1">
      <c r="A7" s="29">
        <f>$A6+1</f>
        <v>2014</v>
      </c>
      <c r="B7" s="15">
        <v>-1</v>
      </c>
      <c r="C7" s="16">
        <v>-36</v>
      </c>
      <c r="D7" s="16">
        <f>B7+C7</f>
        <v>-37</v>
      </c>
      <c r="E7" s="16">
        <f>B7+E6</f>
        <v>-155</v>
      </c>
      <c r="F7" s="16">
        <f>C7+F6</f>
        <v>-126</v>
      </c>
      <c r="G7" s="16">
        <f>D7+G6</f>
        <v>-281</v>
      </c>
      <c r="H7" s="19"/>
    </row>
    <row r="8" ht="20.05" customHeight="1">
      <c r="A8" s="29">
        <f>$A7+1</f>
        <v>2015</v>
      </c>
      <c r="B8" s="15">
        <v>0</v>
      </c>
      <c r="C8" s="16">
        <v>-63</v>
      </c>
      <c r="D8" s="16">
        <f>B8+C8</f>
        <v>-63</v>
      </c>
      <c r="E8" s="16">
        <f>B8+E7</f>
        <v>-155</v>
      </c>
      <c r="F8" s="16">
        <f>C8+F7</f>
        <v>-189</v>
      </c>
      <c r="G8" s="16">
        <f>D8+G7</f>
        <v>-344</v>
      </c>
      <c r="H8" s="19"/>
    </row>
    <row r="9" ht="20.05" customHeight="1">
      <c r="A9" s="29">
        <f>$A8+1</f>
        <v>2016</v>
      </c>
      <c r="B9" s="15">
        <v>0</v>
      </c>
      <c r="C9" s="16">
        <v>-99</v>
      </c>
      <c r="D9" s="16">
        <f>B9+C9</f>
        <v>-99</v>
      </c>
      <c r="E9" s="16">
        <f>B9+E8</f>
        <v>-155</v>
      </c>
      <c r="F9" s="16">
        <f>C9+F8</f>
        <v>-288</v>
      </c>
      <c r="G9" s="16">
        <f>D9+G8</f>
        <v>-443</v>
      </c>
      <c r="H9" s="19"/>
    </row>
    <row r="10" ht="20.05" customHeight="1">
      <c r="A10" s="29">
        <f>$A9+1</f>
        <v>2017</v>
      </c>
      <c r="B10" s="15">
        <v>50</v>
      </c>
      <c r="C10" s="16">
        <v>-264</v>
      </c>
      <c r="D10" s="16">
        <f>B10+C10</f>
        <v>-214</v>
      </c>
      <c r="E10" s="16">
        <f>B10+E9</f>
        <v>-105</v>
      </c>
      <c r="F10" s="16">
        <f>C10+F9</f>
        <v>-552</v>
      </c>
      <c r="G10" s="16">
        <f>D10+G9</f>
        <v>-657</v>
      </c>
      <c r="H10" s="19"/>
    </row>
    <row r="11" ht="20.05" customHeight="1">
      <c r="A11" s="29">
        <f>$A10+1</f>
        <v>2018</v>
      </c>
      <c r="B11" s="15">
        <f>225-175</f>
        <v>50</v>
      </c>
      <c r="C11" s="16">
        <v>-300</v>
      </c>
      <c r="D11" s="16">
        <f>B11+C11</f>
        <v>-250</v>
      </c>
      <c r="E11" s="16">
        <f>B11+E10</f>
        <v>-55</v>
      </c>
      <c r="F11" s="16">
        <f>C11+F10</f>
        <v>-852</v>
      </c>
      <c r="G11" s="16">
        <f>D11+G10</f>
        <v>-907</v>
      </c>
      <c r="H11" s="19"/>
    </row>
    <row r="12" ht="20.05" customHeight="1">
      <c r="A12" s="29">
        <f>$A11+1</f>
        <v>2019</v>
      </c>
      <c r="B12" s="15">
        <v>50</v>
      </c>
      <c r="C12" s="16">
        <v>-300</v>
      </c>
      <c r="D12" s="16">
        <f>B12+C12</f>
        <v>-250</v>
      </c>
      <c r="E12" s="16">
        <f>B12+E11</f>
        <v>-5</v>
      </c>
      <c r="F12" s="16">
        <f>C12+F11</f>
        <v>-1152</v>
      </c>
      <c r="G12" s="16">
        <f>D12+G11</f>
        <v>-1157</v>
      </c>
      <c r="H12" s="46">
        <f>AVERAGE(D3:D14)</f>
        <v>-127.916666666667</v>
      </c>
    </row>
    <row r="13" ht="20.05" customHeight="1">
      <c r="A13" s="29">
        <f>$A12+1</f>
        <v>2020</v>
      </c>
      <c r="B13" s="15">
        <v>-150</v>
      </c>
      <c r="C13" s="16">
        <v>-114</v>
      </c>
      <c r="D13" s="16">
        <f>B13+C13</f>
        <v>-264</v>
      </c>
      <c r="E13" s="16">
        <f>B13+E12</f>
        <v>-155</v>
      </c>
      <c r="F13" s="16">
        <f>C13+F12</f>
        <v>-1266</v>
      </c>
      <c r="G13" s="16">
        <f>D13+G12</f>
        <v>-1421</v>
      </c>
      <c r="H13" s="46">
        <f>AVERAGE(D10:D14)</f>
        <v>-218.4</v>
      </c>
    </row>
    <row r="14" ht="20.05" customHeight="1">
      <c r="A14" s="29">
        <f>$A13+1</f>
        <v>2021</v>
      </c>
      <c r="B14" s="15">
        <v>0</v>
      </c>
      <c r="C14" s="16">
        <v>-114</v>
      </c>
      <c r="D14" s="16">
        <f>B14+C14</f>
        <v>-114</v>
      </c>
      <c r="E14" s="16">
        <f>B14+E13</f>
        <v>-155</v>
      </c>
      <c r="F14" s="16">
        <f>C14+F13</f>
        <v>-1380</v>
      </c>
      <c r="G14" s="16">
        <f>D14+G13</f>
        <v>-1535</v>
      </c>
      <c r="H14" s="46">
        <f>D14</f>
        <v>-114</v>
      </c>
    </row>
    <row r="16" ht="27.65" customHeight="1">
      <c r="I16" t="s" s="2">
        <v>56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ht="20.25" customHeight="1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20.25" customHeight="1">
      <c r="I18" s="48"/>
      <c r="J18" t="s" s="49">
        <v>57</v>
      </c>
      <c r="K18" s="50">
        <v>5670000132096</v>
      </c>
      <c r="L18" s="8"/>
      <c r="M18" s="8"/>
      <c r="N18" s="8"/>
      <c r="O18" s="8"/>
      <c r="P18" s="8"/>
      <c r="Q18" s="8"/>
      <c r="R18" s="8"/>
      <c r="S18" s="8"/>
      <c r="T18" s="8"/>
    </row>
    <row r="19" ht="32.05" customHeight="1">
      <c r="I19" s="28"/>
      <c r="J19" t="s" s="51">
        <v>51</v>
      </c>
      <c r="K19" t="s" s="52">
        <v>58</v>
      </c>
      <c r="L19" s="21">
        <f>R38</f>
        <v>-0.038518517621139</v>
      </c>
      <c r="M19" t="s" s="52">
        <f>S38</f>
        <v>59</v>
      </c>
      <c r="N19" t="s" s="52">
        <f>T38</f>
        <v>60</v>
      </c>
      <c r="O19" s="19"/>
      <c r="P19" s="19"/>
      <c r="Q19" s="19"/>
      <c r="R19" s="19"/>
      <c r="S19" s="19"/>
      <c r="T19" s="19"/>
    </row>
    <row r="20" ht="20.05" customHeight="1">
      <c r="I20" s="28"/>
      <c r="J20" s="53">
        <v>44643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ht="20.05" customHeight="1">
      <c r="I21" s="28"/>
      <c r="J21" t="s" s="51">
        <v>61</v>
      </c>
      <c r="K21" s="46">
        <f>$A4</f>
        <v>2011</v>
      </c>
      <c r="L21" s="19"/>
      <c r="M21" s="19"/>
      <c r="N21" s="19"/>
      <c r="O21" s="19"/>
      <c r="P21" s="19"/>
      <c r="Q21" s="19"/>
      <c r="R21" s="19"/>
      <c r="S21" s="19"/>
      <c r="T21" s="19"/>
    </row>
    <row r="22" ht="32.05" customHeight="1">
      <c r="I22" s="28"/>
      <c r="J22" t="s" s="51">
        <v>62</v>
      </c>
      <c r="K22" s="46">
        <f>(2022-K21)*4</f>
        <v>44</v>
      </c>
      <c r="L22" s="19"/>
      <c r="M22" s="19"/>
      <c r="N22" s="19"/>
      <c r="O22" s="19"/>
      <c r="P22" s="19"/>
      <c r="Q22" s="19"/>
      <c r="R22" s="19"/>
      <c r="S22" s="19"/>
      <c r="T22" s="19"/>
    </row>
    <row r="23" ht="32.05" customHeight="1">
      <c r="I23" s="28"/>
      <c r="J23" t="s" s="51">
        <v>63</v>
      </c>
      <c r="K23" s="16">
        <f>(K18/1000000000)</f>
        <v>5670.000132096</v>
      </c>
      <c r="L23" s="19"/>
      <c r="M23" s="19"/>
      <c r="N23" s="19"/>
      <c r="O23" s="19"/>
      <c r="P23" s="19"/>
      <c r="Q23" s="19"/>
      <c r="R23" s="19"/>
      <c r="S23" s="19"/>
      <c r="T23" s="19"/>
    </row>
    <row r="24" ht="20.05" customHeight="1">
      <c r="I24" s="28"/>
      <c r="J24" t="s" s="51">
        <v>11</v>
      </c>
      <c r="K24" s="16">
        <f>P28</f>
        <v>-155</v>
      </c>
      <c r="L24" t="s" s="52">
        <f>P25</f>
        <v>64</v>
      </c>
      <c r="M24" t="s" s="52">
        <f>IF(K24&gt;0,"raised","paid")</f>
        <v>65</v>
      </c>
      <c r="N24" s="19"/>
      <c r="O24" s="19"/>
      <c r="P24" s="19"/>
      <c r="Q24" s="19"/>
      <c r="R24" s="19"/>
      <c r="S24" s="19"/>
      <c r="T24" s="19"/>
    </row>
    <row r="25" ht="32.05" customHeight="1">
      <c r="I25" s="28"/>
      <c r="J25" t="s" s="51">
        <f>J19</f>
        <v>51</v>
      </c>
      <c r="K25" t="s" s="52">
        <v>66</v>
      </c>
      <c r="L25" t="s" s="52">
        <f>IF(O25&gt;0,"raised","paid")</f>
        <v>65</v>
      </c>
      <c r="M25" t="s" s="52">
        <v>67</v>
      </c>
      <c r="N25" t="s" s="52">
        <v>68</v>
      </c>
      <c r="O25" s="16">
        <f>AVERAGE(B3:B14)</f>
        <v>-12.9166666666667</v>
      </c>
      <c r="P25" t="s" s="52">
        <v>64</v>
      </c>
      <c r="Q25" t="s" s="52">
        <v>69</v>
      </c>
      <c r="R25" s="21">
        <f>O25/K23</f>
        <v>-0.00227807166944313</v>
      </c>
      <c r="S25" t="s" s="52">
        <v>59</v>
      </c>
      <c r="T25" s="19"/>
    </row>
    <row r="26" ht="32.05" customHeight="1">
      <c r="I26" s="28"/>
      <c r="J26" t="s" s="51">
        <v>70</v>
      </c>
      <c r="K26" t="s" s="52">
        <f>M25</f>
        <v>67</v>
      </c>
      <c r="L26" t="s" s="52">
        <v>71</v>
      </c>
      <c r="M26" t="s" s="52">
        <f>IF(O26&gt;0,"raised","paid")</f>
        <v>65</v>
      </c>
      <c r="N26" t="s" s="52">
        <v>68</v>
      </c>
      <c r="O26" s="16">
        <f>AVERAGE(B10:B14)</f>
        <v>0</v>
      </c>
      <c r="P26" t="s" s="52">
        <f>P25</f>
        <v>64</v>
      </c>
      <c r="Q26" t="s" s="52">
        <v>69</v>
      </c>
      <c r="R26" s="21">
        <f>O26/K23</f>
        <v>0</v>
      </c>
      <c r="S26" t="s" s="52">
        <v>59</v>
      </c>
      <c r="T26" s="19"/>
    </row>
    <row r="27" ht="44.05" customHeight="1">
      <c r="I27" s="28"/>
      <c r="J27" t="s" s="51">
        <v>72</v>
      </c>
      <c r="K27" t="s" s="52">
        <v>73</v>
      </c>
      <c r="L27" s="16">
        <f>MAX(E3:E14)</f>
        <v>-5</v>
      </c>
      <c r="M27" t="s" s="52">
        <f>P26</f>
        <v>64</v>
      </c>
      <c r="N27" t="s" s="52">
        <v>74</v>
      </c>
      <c r="O27" s="46">
        <f>$A12</f>
        <v>2019</v>
      </c>
      <c r="P27" s="19"/>
      <c r="Q27" s="19"/>
      <c r="R27" s="19"/>
      <c r="S27" s="19"/>
      <c r="T27" s="19"/>
    </row>
    <row r="28" ht="32.05" customHeight="1">
      <c r="I28" s="28"/>
      <c r="J28" t="s" s="51">
        <v>75</v>
      </c>
      <c r="K28" t="s" s="52">
        <f>K26</f>
        <v>67</v>
      </c>
      <c r="L28" t="s" s="52">
        <v>76</v>
      </c>
      <c r="M28" t="s" s="52">
        <v>77</v>
      </c>
      <c r="N28" t="s" s="52">
        <f>IF(P28&lt;L27,"down","up")</f>
        <v>78</v>
      </c>
      <c r="O28" t="s" s="52">
        <v>79</v>
      </c>
      <c r="P28" s="16">
        <f>E14</f>
        <v>-155</v>
      </c>
      <c r="Q28" t="s" s="52">
        <f>P26</f>
        <v>64</v>
      </c>
      <c r="R28" s="19"/>
      <c r="S28" s="19"/>
      <c r="T28" s="19"/>
    </row>
    <row r="29" ht="20.05" customHeight="1">
      <c r="I29" s="28"/>
      <c r="J29" t="s" s="51">
        <v>14</v>
      </c>
      <c r="K29" s="16">
        <f>P33</f>
        <v>-1380</v>
      </c>
      <c r="L29" t="s" s="52">
        <f>Q28</f>
        <v>64</v>
      </c>
      <c r="M29" t="s" s="52">
        <f>IF(K29&gt;0,"raised","paid")</f>
        <v>65</v>
      </c>
      <c r="N29" s="19"/>
      <c r="O29" s="19"/>
      <c r="P29" s="19"/>
      <c r="Q29" s="19"/>
      <c r="R29" s="19"/>
      <c r="S29" s="19"/>
      <c r="T29" s="19"/>
    </row>
    <row r="30" ht="32.05" customHeight="1">
      <c r="I30" s="28"/>
      <c r="J30" t="s" s="51">
        <f>J25</f>
        <v>51</v>
      </c>
      <c r="K30" t="s" s="52">
        <v>66</v>
      </c>
      <c r="L30" t="s" s="52">
        <f>IF(O30&gt;0,"raised","paid")</f>
        <v>65</v>
      </c>
      <c r="M30" t="s" s="52">
        <v>80</v>
      </c>
      <c r="N30" t="s" s="52">
        <f>N25</f>
        <v>68</v>
      </c>
      <c r="O30" s="16">
        <f>AVERAGE(C3:C14)</f>
        <v>-115</v>
      </c>
      <c r="P30" t="s" s="52">
        <f>P25</f>
        <v>64</v>
      </c>
      <c r="Q30" t="s" s="52">
        <f>Q25</f>
        <v>69</v>
      </c>
      <c r="R30" s="21">
        <f>O30/K23</f>
        <v>-0.0202821864763323</v>
      </c>
      <c r="S30" t="s" s="52">
        <f>S25</f>
        <v>59</v>
      </c>
      <c r="T30" s="19"/>
    </row>
    <row r="31" ht="32.05" customHeight="1">
      <c r="I31" s="28"/>
      <c r="J31" t="s" s="51">
        <v>70</v>
      </c>
      <c r="K31" t="s" s="52">
        <f>M30</f>
        <v>80</v>
      </c>
      <c r="L31" t="s" s="52">
        <v>81</v>
      </c>
      <c r="M31" t="s" s="52">
        <f>IF(O31&gt;0,"raised","paid")</f>
        <v>65</v>
      </c>
      <c r="N31" t="s" s="52">
        <v>68</v>
      </c>
      <c r="O31" s="16">
        <f>AVERAGE(C10:C14)</f>
        <v>-218.4</v>
      </c>
      <c r="P31" t="s" s="52">
        <f>P30</f>
        <v>64</v>
      </c>
      <c r="Q31" t="s" s="52">
        <v>69</v>
      </c>
      <c r="R31" s="21">
        <f>O31/K23</f>
        <v>-0.038518517621139</v>
      </c>
      <c r="S31" t="s" s="52">
        <f>S26</f>
        <v>59</v>
      </c>
      <c r="T31" s="19"/>
    </row>
    <row r="32" ht="44.05" customHeight="1">
      <c r="I32" s="28"/>
      <c r="J32" t="s" s="51">
        <v>82</v>
      </c>
      <c r="K32" t="s" s="52">
        <v>73</v>
      </c>
      <c r="L32" s="16">
        <f>MAX(F3:F14)</f>
        <v>0</v>
      </c>
      <c r="M32" t="s" s="52">
        <f>P31</f>
        <v>64</v>
      </c>
      <c r="N32" t="s" s="52">
        <v>74</v>
      </c>
      <c r="O32" s="46">
        <f>$A3</f>
        <v>2010</v>
      </c>
      <c r="P32" s="19"/>
      <c r="Q32" s="19"/>
      <c r="R32" s="19"/>
      <c r="S32" s="19"/>
      <c r="T32" s="19"/>
    </row>
    <row r="33" ht="32.05" customHeight="1">
      <c r="I33" s="28"/>
      <c r="J33" t="s" s="51">
        <v>75</v>
      </c>
      <c r="K33" t="s" s="52">
        <f>K31</f>
        <v>80</v>
      </c>
      <c r="L33" t="s" s="52">
        <v>76</v>
      </c>
      <c r="M33" t="s" s="52">
        <v>83</v>
      </c>
      <c r="N33" t="s" s="52">
        <f>IF(P33&lt;L32,"down","up")</f>
        <v>78</v>
      </c>
      <c r="O33" t="s" s="52">
        <v>79</v>
      </c>
      <c r="P33" s="16">
        <f>F14</f>
        <v>-1380</v>
      </c>
      <c r="Q33" t="s" s="52">
        <f>P31</f>
        <v>64</v>
      </c>
      <c r="R33" s="19"/>
      <c r="S33" s="19"/>
      <c r="T33" s="19"/>
    </row>
    <row r="34" ht="20.05" customHeight="1">
      <c r="I34" s="28"/>
      <c r="J34" t="s" s="51">
        <v>84</v>
      </c>
      <c r="K34" s="16">
        <f>P38</f>
        <v>-1535</v>
      </c>
      <c r="L34" t="s" s="52">
        <f>Q33</f>
        <v>64</v>
      </c>
      <c r="M34" t="s" s="52">
        <f>IF(K34&gt;0,"raised","paid")</f>
        <v>65</v>
      </c>
      <c r="N34" s="19"/>
      <c r="O34" s="19"/>
      <c r="P34" s="19"/>
      <c r="Q34" s="19"/>
      <c r="R34" s="19"/>
      <c r="S34" s="19"/>
      <c r="T34" s="19"/>
    </row>
    <row r="35" ht="32.05" customHeight="1">
      <c r="I35" s="28"/>
      <c r="J35" t="s" s="51">
        <f>J30</f>
        <v>51</v>
      </c>
      <c r="K35" t="s" s="52">
        <v>66</v>
      </c>
      <c r="L35" t="s" s="52">
        <f>IF(O35&gt;0,"raised","paid")</f>
        <v>65</v>
      </c>
      <c r="M35" t="s" s="52">
        <v>85</v>
      </c>
      <c r="N35" t="s" s="52">
        <f>N30</f>
        <v>68</v>
      </c>
      <c r="O35" s="16">
        <f>AVERAGE(D4:D14)</f>
        <v>-125.727272727273</v>
      </c>
      <c r="P35" t="s" s="52">
        <f>P30</f>
        <v>64</v>
      </c>
      <c r="Q35" t="s" s="52">
        <f>Q30</f>
        <v>69</v>
      </c>
      <c r="R35" s="21">
        <f>O35/K23</f>
        <v>-0.0221741216575238</v>
      </c>
      <c r="S35" t="s" s="52">
        <f>S30</f>
        <v>59</v>
      </c>
      <c r="T35" s="19"/>
    </row>
    <row r="36" ht="32.05" customHeight="1">
      <c r="I36" s="28"/>
      <c r="J36" t="s" s="51">
        <v>70</v>
      </c>
      <c r="K36" t="s" s="52">
        <f>M35</f>
        <v>85</v>
      </c>
      <c r="L36" t="s" s="52">
        <v>81</v>
      </c>
      <c r="M36" t="s" s="52">
        <f>IF(O36&gt;0,"raised","paid")</f>
        <v>65</v>
      </c>
      <c r="N36" t="s" s="52">
        <v>68</v>
      </c>
      <c r="O36" s="16">
        <f>AVERAGE(D10:D14)</f>
        <v>-218.4</v>
      </c>
      <c r="P36" t="s" s="52">
        <f>P35</f>
        <v>64</v>
      </c>
      <c r="Q36" t="s" s="52">
        <v>69</v>
      </c>
      <c r="R36" s="21">
        <f>O36/K23</f>
        <v>-0.038518517621139</v>
      </c>
      <c r="S36" t="s" s="52">
        <f>S31</f>
        <v>59</v>
      </c>
      <c r="T36" s="19"/>
    </row>
    <row r="37" ht="44.05" customHeight="1">
      <c r="I37" s="28"/>
      <c r="J37" t="s" s="51">
        <v>86</v>
      </c>
      <c r="K37" t="s" s="52">
        <v>73</v>
      </c>
      <c r="L37" s="16">
        <f>MAX(G3:G14)</f>
        <v>-133</v>
      </c>
      <c r="M37" t="s" s="52">
        <f>P36</f>
        <v>64</v>
      </c>
      <c r="N37" t="s" s="52">
        <v>74</v>
      </c>
      <c r="O37" s="46">
        <f>$A4</f>
        <v>2011</v>
      </c>
      <c r="P37" s="19"/>
      <c r="Q37" s="19"/>
      <c r="R37" s="19"/>
      <c r="S37" s="19"/>
      <c r="T37" s="19"/>
    </row>
    <row r="38" ht="32.05" customHeight="1">
      <c r="I38" s="28"/>
      <c r="J38" t="s" s="51">
        <v>75</v>
      </c>
      <c r="K38" t="s" s="52">
        <f>K36</f>
        <v>85</v>
      </c>
      <c r="L38" t="s" s="52">
        <v>76</v>
      </c>
      <c r="M38" t="s" s="52">
        <v>83</v>
      </c>
      <c r="N38" t="s" s="52">
        <f>IF(P38&lt;L37,"down","up")</f>
        <v>78</v>
      </c>
      <c r="O38" t="s" s="52">
        <v>79</v>
      </c>
      <c r="P38" s="46">
        <f>G14</f>
        <v>-1535</v>
      </c>
      <c r="Q38" t="s" s="52">
        <f>P36</f>
        <v>64</v>
      </c>
      <c r="R38" s="21">
        <f>R36</f>
        <v>-0.038518517621139</v>
      </c>
      <c r="S38" t="s" s="52">
        <f>S36</f>
        <v>59</v>
      </c>
      <c r="T38" t="s" s="52">
        <v>60</v>
      </c>
    </row>
  </sheetData>
  <mergeCells count="2">
    <mergeCell ref="A1:H1"/>
    <mergeCell ref="I16:T1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